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9720" windowHeight="7320" tabRatio="911" activeTab="1"/>
  </bookViews>
  <sheets>
    <sheet name="Index" sheetId="1" r:id="rId1"/>
    <sheet name="2007Season" sheetId="2" r:id="rId2"/>
    <sheet name="2007 Columbus" sheetId="3" r:id="rId3"/>
    <sheet name="2007Summer" sheetId="4" r:id="rId4"/>
    <sheet name="2007NOOD" sheetId="5" r:id="rId5"/>
    <sheet name="2007Spring" sheetId="6" r:id="rId6"/>
    <sheet name="2007 Crew Race" sheetId="7" r:id="rId7"/>
    <sheet name="2007PollyAnn" sheetId="8" r:id="rId8"/>
    <sheet name="2007 Independence" sheetId="9" r:id="rId9"/>
    <sheet name="2007Districts" sheetId="10" r:id="rId10"/>
    <sheet name="2007Memorial" sheetId="11" r:id="rId11"/>
    <sheet name="2007RaceWeek" sheetId="12" r:id="rId12"/>
    <sheet name="MostImproved" sheetId="13" r:id="rId13"/>
    <sheet name="2006YRA" sheetId="14" r:id="rId14"/>
    <sheet name="2006Season" sheetId="15" r:id="rId15"/>
    <sheet name="2006Spring" sheetId="16" r:id="rId16"/>
    <sheet name="2006Summer" sheetId="17" r:id="rId17"/>
    <sheet name="2006Memorial" sheetId="18" r:id="rId18"/>
    <sheet name="2006Districts" sheetId="19" r:id="rId19"/>
    <sheet name="2006Independence" sheetId="20" r:id="rId20"/>
    <sheet name="2006RaceWeek" sheetId="21" r:id="rId21"/>
    <sheet name="2006Nationals" sheetId="22" r:id="rId22"/>
    <sheet name="2006OneDesign" sheetId="23" r:id="rId23"/>
    <sheet name="2006NOOD" sheetId="24" r:id="rId24"/>
    <sheet name="2006ColumbusDay" sheetId="25" r:id="rId25"/>
    <sheet name="2006PollyAnn" sheetId="26" r:id="rId26"/>
    <sheet name="2005Season" sheetId="27" r:id="rId27"/>
    <sheet name="2005Spring" sheetId="28" r:id="rId28"/>
    <sheet name="2005RaceWeek" sheetId="29" r:id="rId29"/>
    <sheet name="2005Summer" sheetId="30" r:id="rId30"/>
    <sheet name="2005PollyAnn" sheetId="31" r:id="rId31"/>
    <sheet name="2005Nationals" sheetId="32" r:id="rId32"/>
    <sheet name="2005Memorial" sheetId="33" r:id="rId33"/>
    <sheet name="2005Districts" sheetId="34" r:id="rId34"/>
    <sheet name="2005NOOD" sheetId="35" r:id="rId35"/>
    <sheet name="2005YRA" sheetId="36" r:id="rId36"/>
    <sheet name="2005YRA_Regatta" sheetId="37" r:id="rId37"/>
    <sheet name="2005_S-Boat" sheetId="38" r:id="rId38"/>
    <sheet name="2005_Etchells" sheetId="39" r:id="rId39"/>
    <sheet name="2005_IOD" sheetId="40" r:id="rId40"/>
    <sheet name="2004Season" sheetId="41" r:id="rId41"/>
    <sheet name="2004RaceWeek" sheetId="42" r:id="rId42"/>
    <sheet name="2004MidSummer" sheetId="43" r:id="rId43"/>
    <sheet name="2005Independence" sheetId="44" r:id="rId44"/>
    <sheet name="2005OneDesign" sheetId="45" r:id="rId45"/>
    <sheet name="2004OneDesign" sheetId="46" r:id="rId46"/>
    <sheet name="2005Crew" sheetId="47" r:id="rId47"/>
    <sheet name="2004Crew" sheetId="48" r:id="rId48"/>
    <sheet name="2004LaborDay" sheetId="49" r:id="rId49"/>
    <sheet name="2005ColumbusDay" sheetId="50" r:id="rId50"/>
    <sheet name="2004ColumbusDay" sheetId="51" r:id="rId51"/>
    <sheet name="CS_Table" sheetId="52" r:id="rId52"/>
    <sheet name="Rules" sheetId="53" r:id="rId53"/>
    <sheet name="Notes" sheetId="54" r:id="rId54"/>
    <sheet name="Boats and Owners" sheetId="55" r:id="rId55"/>
  </sheets>
  <definedNames>
    <definedName name="cs_table">'CS_Table'!#REF!</definedName>
    <definedName name="csg_table">'CS_Table'!$B$19:$U$38</definedName>
    <definedName name="LISYRA_table">'CS_Table'!$B$45:$U$64</definedName>
    <definedName name="_xlnm.Print_Area" localSheetId="1">'2007Season'!$A$1:$Z$32</definedName>
  </definedNames>
  <calcPr fullCalcOnLoad="1"/>
</workbook>
</file>

<file path=xl/sharedStrings.xml><?xml version="1.0" encoding="utf-8"?>
<sst xmlns="http://schemas.openxmlformats.org/spreadsheetml/2006/main" count="3702" uniqueCount="1243">
  <si>
    <t>'There are three differences between the modified Cox-Sprague-Gesing Scoring System</t>
  </si>
  <si>
    <t>' and the Cox-Sprague Scoring system published in the LISYRA handbook:</t>
  </si>
  <si>
    <t>'1) The sub-diagonal of the Cox-Sprague table containing the DNF and DSQ scores is removed.</t>
  </si>
  <si>
    <t>'   The DNF and DSQ are awarded a score for a place equal to the number of starters plus one</t>
  </si>
  <si>
    <t>'   obtained from the column of the CSG table for number of starters plus one.  This change was</t>
  </si>
  <si>
    <t>'   for the boats that fail to finish or are disqualified than the original Cox-Sprague system.</t>
  </si>
  <si>
    <t>'   This change only affects the boats which were disqualified (DSQ/DNF/RAF/OCS/BFD/DNE).</t>
  </si>
  <si>
    <t>'2) The score for boats that finish worse than 20 is computed using a formula which results in scores ranging from</t>
  </si>
  <si>
    <t>'   58.4% for the 21'st place to 54.5% for the 200'th place.</t>
  </si>
  <si>
    <t>'   This is more in line with the rest of the CS table which assigns scores for the last place</t>
  </si>
  <si>
    <t>'   finish ranging 70% to 59% in races with 20 or fewer boats than the scores assigned</t>
  </si>
  <si>
    <t>'   by the LISYRA version in which the 21'st place gets a score of 58% and subsequent scores decrease</t>
  </si>
  <si>
    <t>'   by 1% per place. For large fleets this would result in negative scores for boats finishing 80'th or higher.</t>
  </si>
  <si>
    <t>Shields Fleet 1 2007 Summer Series Race Results</t>
  </si>
  <si>
    <t>'   This change only affects races with more than 20 participants.</t>
  </si>
  <si>
    <t>'3) The score for a boat that finishes second in a two boat race has been changed from 40% to 70%.</t>
  </si>
  <si>
    <t>'   This is more consistent with the 67.7% score assigned to a boat that finishes third in a three boat</t>
  </si>
  <si>
    <t>'   race and a 59% score assigned to the boat that finishes last in a 20 boat race.</t>
  </si>
  <si>
    <t>'   This change only affects races with exactly 2 participants.</t>
  </si>
  <si>
    <t>' 2005-10-10: Additional comments added</t>
  </si>
  <si>
    <t>Option Base 1</t>
  </si>
  <si>
    <t>Function VER()</t>
  </si>
  <si>
    <t xml:space="preserve">        VER = "Cox_Sprague Scoring System Version 1d, September 26, 2003, Witold Gesing"</t>
  </si>
  <si>
    <t xml:space="preserve">        'Changes:</t>
  </si>
  <si>
    <t xml:space="preserve">        '2003-09-26: DNF/DSQ/OCS/BDF/RAF scored as n_starters+1 for C_S_G and G_C_S</t>
  </si>
  <si>
    <t xml:space="preserve">        '1b: inputs/outputs documented</t>
  </si>
  <si>
    <t xml:space="preserve">        '1c: Excess Scoring Systems removed for simplicity</t>
  </si>
  <si>
    <t xml:space="preserve">        '2003-09-26: DNS/dns/DNC/dnc not counted</t>
  </si>
  <si>
    <t>End Function</t>
  </si>
  <si>
    <t>Function C_S_G(results As Variant, n_starters, CSG_table, Optional n_races, Optional m_discards)</t>
  </si>
  <si>
    <t>' Cox-Sprague score for from table CSG_table indexed by results(i) and n_starters(i)</t>
  </si>
  <si>
    <t>' as modified by Witold Gesing</t>
  </si>
  <si>
    <t>' Witold Gesing, Oct. 19, 1999</t>
  </si>
  <si>
    <t xml:space="preserve">    Dim vx() 'vector C-S scores in the nx'th race started (for computing discards)</t>
  </si>
  <si>
    <t xml:space="preserve">    Dim vw() 'vector of perfect C-S scores (for computing discards)</t>
  </si>
  <si>
    <t xml:space="preserve">    If IsMissing(n_races) Then n_races = Application.Count(n_starters)</t>
  </si>
  <si>
    <t xml:space="preserve">    If IsMissing(m_discards) Then m_discards = 0</t>
  </si>
  <si>
    <t xml:space="preserve">    </t>
  </si>
  <si>
    <t xml:space="preserve">    ReDim vx(n_races)</t>
  </si>
  <si>
    <t xml:space="preserve">    ReDim vw(n_races)</t>
  </si>
  <si>
    <t xml:space="preserve">        </t>
  </si>
  <si>
    <t xml:space="preserve">    xx = 0 ' Initialize running C-S total</t>
  </si>
  <si>
    <t xml:space="preserve">    ww = 0 ' Initialize running C-S "perfect" total</t>
  </si>
  <si>
    <t xml:space="preserve">    nx = 0 ' Initialize counter of races started</t>
  </si>
  <si>
    <t xml:space="preserve">       </t>
  </si>
  <si>
    <t xml:space="preserve">    For i = 1 To n_races</t>
  </si>
  <si>
    <t xml:space="preserve">        r = 0</t>
  </si>
  <si>
    <t xml:space="preserve">        c = n_starters(i)</t>
  </si>
  <si>
    <t xml:space="preserve">        l = Left(results(i), 1) ' Check for DSQ/DNF/DNE/OCS/BFD/RAF, score as n_starters(i) + 1</t>
  </si>
  <si>
    <t xml:space="preserve">        If l = "D" Or l = "d" Or l = "O" Or l = "o" Or l = "B" Or l = "b" Or l = "R" Or l = "r" Then</t>
  </si>
  <si>
    <t xml:space="preserve">            c = c + 1</t>
  </si>
  <si>
    <t xml:space="preserve">            r = c</t>
  </si>
  <si>
    <t xml:space="preserve">        End If</t>
  </si>
  <si>
    <t xml:space="preserve">        l = Left(results(i), 3)</t>
  </si>
  <si>
    <t xml:space="preserve">        If l = "DNS" Or l = "dns" Or l = "DNC" Or l = "dnc" Then 'Do not count DNS/DNC</t>
  </si>
  <si>
    <t xml:space="preserve">            r = 0</t>
  </si>
  <si>
    <t xml:space="preserve">                </t>
  </si>
  <si>
    <t xml:space="preserve">        If c &gt; 20 Then c = 20</t>
  </si>
  <si>
    <t xml:space="preserve">        If Application.IsNumber(results(i)) Then r = results(i)</t>
  </si>
  <si>
    <t xml:space="preserve">            If r &gt; 0 Then</t>
  </si>
  <si>
    <t xml:space="preserve">                If r &lt; 20 Then z = Abs(CSG_table(r, c)) Else z = 59 - 2 * Log(r - 19)</t>
  </si>
  <si>
    <t xml:space="preserve">                nx = nx + 1 'counter of races started</t>
  </si>
  <si>
    <t xml:space="preserve">                vx(nx) = z 'vector C-S score in the nx'th race started (for computing discards)</t>
  </si>
  <si>
    <t xml:space="preserve">                xx = xx + z ' running C-S total</t>
  </si>
  <si>
    <t xml:space="preserve">                If (results(i) = "DNE" Or results(i) = "dne") Then vx(nx) = 0 ' Disqualification not Excludable (setting vx(nx)=0 prevents result of race nx from being discarded)</t>
  </si>
  <si>
    <t xml:space="preserve">                z = CSG_table(1, c)</t>
  </si>
  <si>
    <t xml:space="preserve">                vw(nx) = z ' vector of perfect C-S scores (for computing discards)</t>
  </si>
  <si>
    <t xml:space="preserve">                ww = ww + z ' running C-S "perfect" total</t>
  </si>
  <si>
    <t xml:space="preserve">            End If 'r &gt; 0</t>
  </si>
  <si>
    <t xml:space="preserve">    Next i</t>
  </si>
  <si>
    <t xml:space="preserve">    If ww &gt; 0 Then cs = xx / ww Else cs = 0</t>
  </si>
  <si>
    <t>'Discards:</t>
  </si>
  <si>
    <t>'The race result whose removal results in the greates improvement to the</t>
  </si>
  <si>
    <t>'C-S score cs is discarted and the improved CS score is returned.</t>
  </si>
  <si>
    <t>'This process is repeated if there is more than one discard.</t>
  </si>
  <si>
    <t xml:space="preserve">    If m_discards &gt; nx - 1 Then m_discards = nx - 1</t>
  </si>
  <si>
    <t xml:space="preserve">    If m_discards &gt; 0 Then</t>
  </si>
  <si>
    <t xml:space="preserve">   </t>
  </si>
  <si>
    <t xml:space="preserve">        For j = 1 To m_discards</t>
  </si>
  <si>
    <t xml:space="preserve">           For i = 1 To nx</t>
  </si>
  <si>
    <t xml:space="preserve">                If vx(i) &gt; 0 Then ' skip if Disqualification Not Exludable (DNE) or if already discarded</t>
  </si>
  <si>
    <t xml:space="preserve">                    If (ww - vw(i) &gt; 0) Then</t>
  </si>
  <si>
    <t xml:space="preserve">                        csz = (xx - vx(i)) / (ww - vw(i))</t>
  </si>
  <si>
    <t xml:space="preserve">                    Else</t>
  </si>
  <si>
    <t xml:space="preserve">                        csz = 0</t>
  </si>
  <si>
    <t xml:space="preserve">                    End If</t>
  </si>
  <si>
    <t xml:space="preserve">                    If csz &gt; cs Then</t>
  </si>
  <si>
    <t xml:space="preserve">                        cs = csz</t>
  </si>
  <si>
    <t xml:space="preserve">                        im = i</t>
  </si>
  <si>
    <t xml:space="preserve">                    End If ' csz &gt; cm</t>
  </si>
  <si>
    <t xml:space="preserve">                End If ' vx(i) &gt; 0</t>
  </si>
  <si>
    <t xml:space="preserve">           Next i</t>
  </si>
  <si>
    <t>Race 10</t>
  </si>
  <si>
    <t>18 ocs</t>
  </si>
  <si>
    <t>18 dsq</t>
  </si>
  <si>
    <t>18 OCS</t>
  </si>
  <si>
    <t>18 DNC</t>
  </si>
  <si>
    <t>18 DNS</t>
  </si>
  <si>
    <t xml:space="preserve"> 18 DNF</t>
  </si>
  <si>
    <t>18 DNF</t>
  </si>
  <si>
    <t>Official Results at: link is down at this time</t>
  </si>
  <si>
    <t>AS Of July 23,2007</t>
  </si>
  <si>
    <t>* 197 had 14 ARB</t>
  </si>
  <si>
    <t xml:space="preserve">                      </t>
  </si>
  <si>
    <t xml:space="preserve">               xx = xx - vx(im) 'Discard the worst race</t>
  </si>
  <si>
    <t xml:space="preserve">               ww = ww - vw(im)</t>
  </si>
  <si>
    <t xml:space="preserve">               vx(im) = 0</t>
  </si>
  <si>
    <t xml:space="preserve">               vw(im) = 0</t>
  </si>
  <si>
    <t xml:space="preserve">           </t>
  </si>
  <si>
    <t xml:space="preserve">        Next j</t>
  </si>
  <si>
    <t xml:space="preserve">    End If 'm_discards &gt; 0</t>
  </si>
  <si>
    <t xml:space="preserve">    C_S_G = cs</t>
  </si>
  <si>
    <t>Program Listing</t>
  </si>
  <si>
    <t>R6</t>
  </si>
  <si>
    <t>R7</t>
  </si>
  <si>
    <t>Leo Vasilev,Hunt L.</t>
  </si>
  <si>
    <t>Skimer</t>
  </si>
  <si>
    <t>Yevgeniy Burmainob,Hunt L.</t>
  </si>
  <si>
    <t>Carr,Michael B.</t>
  </si>
  <si>
    <t>Andrew. Werthiem,Gregg.Takata</t>
  </si>
  <si>
    <t>10.6 ARB</t>
  </si>
  <si>
    <t>Wme Tuthill</t>
  </si>
  <si>
    <t>O' Brien,Thomas</t>
  </si>
  <si>
    <t>unnamed</t>
  </si>
  <si>
    <t>12 DNS</t>
  </si>
  <si>
    <t>Intime</t>
  </si>
  <si>
    <t>12 DNC</t>
  </si>
  <si>
    <t>Swamp Fox</t>
  </si>
  <si>
    <t>2007 NOOD Regatta</t>
  </si>
  <si>
    <t>September 8th-9th 2007</t>
  </si>
  <si>
    <t>#206 &amp; 228 from SCYC in Regatta</t>
  </si>
  <si>
    <t>2 Boats from SCYC in Regatta (10 Boats)</t>
  </si>
  <si>
    <t>The races included in the YRA season standings will be all the races on the YRA schedule, including the Memorial Day Regatta,  the Independence Day Regatta, the LYC Race Week, the YRA-LIS One-Design Championship, the Columbus Day Regatta and all the Saturday YRA races with the exception of the Crew Race on Sept 22, 2007.</t>
  </si>
  <si>
    <t>All the races on the YRA schedule after the Larchmont Race week, including  the YRA-LIS One-Design Championship, the Larchmont NOOD, the Columbus Day Regatta and all the Saturday YRA races with exception of the Crew Race on Sept 22, 2007.</t>
  </si>
  <si>
    <t>2007Season</t>
  </si>
  <si>
    <t>2007Spring</t>
  </si>
  <si>
    <t>2007PollyAnn</t>
  </si>
  <si>
    <t>2007Memorial</t>
  </si>
  <si>
    <t>2007Districts</t>
  </si>
  <si>
    <t>MostImproved</t>
  </si>
  <si>
    <t>2006Season</t>
  </si>
  <si>
    <t>2006Spring</t>
  </si>
  <si>
    <t>2006Summer</t>
  </si>
  <si>
    <t>2006Memorial</t>
  </si>
  <si>
    <t>2006Districts</t>
  </si>
  <si>
    <t>2006Independence</t>
  </si>
  <si>
    <t>2006RaceWeek</t>
  </si>
  <si>
    <t>2006Nationals</t>
  </si>
  <si>
    <t>2006OneDesign</t>
  </si>
  <si>
    <t>2006NOOD</t>
  </si>
  <si>
    <t>2006ColumbusDay</t>
  </si>
  <si>
    <t>2006PollyAnn</t>
  </si>
  <si>
    <t>2005Season</t>
  </si>
  <si>
    <t>2005Spring</t>
  </si>
  <si>
    <t>2005RaceWeek</t>
  </si>
  <si>
    <t>2005Summer</t>
  </si>
  <si>
    <t>2005PollyAnn</t>
  </si>
  <si>
    <t>2005Nationals</t>
  </si>
  <si>
    <t>2005Memorial</t>
  </si>
  <si>
    <t>2005Districts</t>
  </si>
  <si>
    <t>2005YRA</t>
  </si>
  <si>
    <t>2005NOOD</t>
  </si>
  <si>
    <t>2004Season</t>
  </si>
  <si>
    <t>2004RaceWeek</t>
  </si>
  <si>
    <t>2004MidSummer</t>
  </si>
  <si>
    <t>2005Independence</t>
  </si>
  <si>
    <t>2005OneDesign</t>
  </si>
  <si>
    <t>2004OneDesign</t>
  </si>
  <si>
    <t>2005Crew</t>
  </si>
  <si>
    <t>2004Crew</t>
  </si>
  <si>
    <t>2004LaborDay</t>
  </si>
  <si>
    <t>2005ColumbusDay</t>
  </si>
  <si>
    <t>2004ColumbusDay</t>
  </si>
  <si>
    <t>CS_Table</t>
  </si>
  <si>
    <t>BoatsandOwners</t>
  </si>
  <si>
    <t>The races included in the season standings will be all the races on the YRA schedule, including the Memorial Day Regatta,the Shields Disctricts,  the Independence Day Regatta, the LYC Race Week, the YRA-LIS One-Design Championship, the Larchmont NOOD, the Columbus Day Regatta and all the Saturday YRA races with exception of the Crew Race on Sept 16, 2007.</t>
  </si>
  <si>
    <t>Shields Fleet 1 Scoring for 2007:</t>
  </si>
  <si>
    <t>Rules</t>
  </si>
  <si>
    <t>2006YRA</t>
  </si>
  <si>
    <t>Other</t>
  </si>
  <si>
    <t>2005_S-Boat</t>
  </si>
  <si>
    <t>2005YRA_Regatta</t>
  </si>
  <si>
    <t>2005_Etchells</t>
  </si>
  <si>
    <t>2005_IOD</t>
  </si>
  <si>
    <t>Course:</t>
  </si>
  <si>
    <t>Wind Direction:</t>
  </si>
  <si>
    <t>Wind Strength:</t>
  </si>
  <si>
    <t>Starters:</t>
  </si>
  <si>
    <t>Starts</t>
  </si>
  <si>
    <t>Discards</t>
  </si>
  <si>
    <t>C-S Score</t>
  </si>
  <si>
    <t xml:space="preserve"> </t>
  </si>
  <si>
    <t>A boat must participate in 50% of races for her score to be considered for the Season Championship.</t>
  </si>
  <si>
    <t>Any boat that crosses the starting line then withdraws is scored one point worse than the number of starters.</t>
  </si>
  <si>
    <t>Cox-Sprague scoring system recommended by Y.R.A. of L.I.S, modified as described below will be used.</t>
  </si>
  <si>
    <t xml:space="preserve">In each race the number of starters will determine the column to be used in the table below, and each boat will be credited </t>
  </si>
  <si>
    <t>with the number of points indicated for her finishing place. A boat's series score shall be her "Percentage of Perfection" calculated by dividing</t>
  </si>
  <si>
    <t>her total points scored by the total points she would have had, had she won every race in which she started. A boat which does not finish</t>
  </si>
  <si>
    <t>Crocker.Com,Wiensenfluh.K</t>
  </si>
  <si>
    <t>Carr,Michael</t>
  </si>
  <si>
    <t>DeVore,H.L.</t>
  </si>
  <si>
    <t>KevinSantee,GregDavis</t>
  </si>
  <si>
    <t>Campbell,Doug</t>
  </si>
  <si>
    <t>Justin.Gibbons,Phillips.Johnston</t>
  </si>
  <si>
    <t>P.J.O'Shea,Patrick.Leonard</t>
  </si>
  <si>
    <t>Gallagher-Hynes,T-K</t>
  </si>
  <si>
    <t>OBrien,Thomas</t>
  </si>
  <si>
    <t>Leonard,Vincent</t>
  </si>
  <si>
    <t>July 14-15 and July 21-22, 2007</t>
  </si>
  <si>
    <t>Race 9</t>
  </si>
  <si>
    <t xml:space="preserve"> or is disqualified in a race shall receive a score for the place one greater than the number of starters in that race using the next </t>
  </si>
  <si>
    <t>40% of season (53 races less 7 for Nood)</t>
  </si>
  <si>
    <t>24 less 7 races for Nood</t>
  </si>
  <si>
    <t>column in the table to determine the number of points.</t>
  </si>
  <si>
    <t>20 or more</t>
  </si>
  <si>
    <t>*</t>
  </si>
  <si>
    <t>For finishing place n &gt; 20 the points are awarded as follows:</t>
  </si>
  <si>
    <t xml:space="preserve">n_points = 59 - 2*log(n-19) </t>
  </si>
  <si>
    <t>This program computes a series score for a yacht participating in a series</t>
  </si>
  <si>
    <t xml:space="preserve"> of n races with m discards using the modified Cox-Sprague Scoring System.</t>
  </si>
  <si>
    <t xml:space="preserve"> Proprietary Notice:</t>
  </si>
  <si>
    <t xml:space="preserve"> This software was developed by Witold Gesing.</t>
  </si>
  <si>
    <t xml:space="preserve"> This software may be copied and re-distributed freely.</t>
  </si>
  <si>
    <t>The (uncorrected) LISYRA C-S scoring table assigns 40% score to a boat finishing</t>
  </si>
  <si>
    <t xml:space="preserve">second in a two boat race. This is a much worse score than any other </t>
  </si>
  <si>
    <t>in the LISYRA C-S table (for example a boat finishing 20th in a 20 boat race</t>
  </si>
  <si>
    <t>receives a  score of 59%). As the result of this,</t>
  </si>
  <si>
    <t>the LISYRA C-S scoring system may result in incorrect ranking of boats if there</t>
  </si>
  <si>
    <t>Boat #</t>
  </si>
  <si>
    <t>Race #1</t>
  </si>
  <si>
    <t>Shields Fleet One</t>
  </si>
  <si>
    <t>Here are some examples of what can go wrong when the uncorrected LISYRA table is used:</t>
  </si>
  <si>
    <t xml:space="preserve">Example 1: </t>
  </si>
  <si>
    <t>Using LISYRA Cox-Sprague Scoring System</t>
  </si>
  <si>
    <t>Using Modified Cox-Sprague Scoring System</t>
  </si>
  <si>
    <t>LIS YRA</t>
  </si>
  <si>
    <t>CSG</t>
  </si>
  <si>
    <t>Boat A</t>
  </si>
  <si>
    <t>Boat B</t>
  </si>
  <si>
    <t>Boat C</t>
  </si>
  <si>
    <t>Boat D</t>
  </si>
  <si>
    <t>In this example boat B which finishes second in 3 races with 2 starters</t>
  </si>
  <si>
    <t>receives Cox-Sprague "percentage-of-perfection" score of 40%, well behind</t>
  </si>
  <si>
    <t>boats C and D which finish second and third respectively in three races with</t>
  </si>
  <si>
    <t>3 starters.  If the 4 points assigned for the second place in a two boat</t>
  </si>
  <si>
    <t>race is changed to 7, Boat B's score would be 70% and the other scores would</t>
  </si>
  <si>
    <t>be unchanged. This would place Boat B behind Boat C which finished second in</t>
  </si>
  <si>
    <t>races with three starters and slightly ahead of Boat D which finished last</t>
  </si>
  <si>
    <t>in these races.</t>
  </si>
  <si>
    <t>Example 2:</t>
  </si>
  <si>
    <t>LISYRA</t>
  </si>
  <si>
    <t>In this example Boat B manages to sail in one more race and finishes true to</t>
  </si>
  <si>
    <t>form second, beating boats C and D in the process. We now have a situation</t>
  </si>
  <si>
    <t>in which Boat B with four  second place finishes is ranked behind not only</t>
  </si>
  <si>
    <t>Boat C which has 3,2 and 2 but also behind the hapless boat D which always</t>
  </si>
  <si>
    <t>finishes last. With the suggested correction boat B's score changes to 79.5%</t>
  </si>
  <si>
    <t>and as before the other scores are not affected, resulting in a more</t>
  </si>
  <si>
    <t>intuitive ranking {A,B,C,D}, with B and C virtually tied for second.</t>
  </si>
  <si>
    <t>Example 3.</t>
  </si>
  <si>
    <t>This example is added to illustrate how ties are broken</t>
  </si>
  <si>
    <t xml:space="preserve">between boats with identical results. </t>
  </si>
  <si>
    <t>Here A and B have identical finishing records of  three firsts and two seconds and under</t>
  </si>
  <si>
    <t xml:space="preserve"> YRA Season</t>
  </si>
  <si>
    <t>Qualification:</t>
  </si>
  <si>
    <t>Throw Outs:</t>
  </si>
  <si>
    <t>1 after 10 starts; 2 after 20 starts, 3 after 30 starts</t>
  </si>
  <si>
    <t>Scoring:</t>
  </si>
  <si>
    <t>Cox/Sprague</t>
  </si>
  <si>
    <t>Prizes:</t>
  </si>
  <si>
    <t>Fleet 1  Season</t>
  </si>
  <si>
    <t>1 after 10 starts; 2 after 20 starts, 3 after 30</t>
  </si>
  <si>
    <t xml:space="preserve">Spring Series </t>
  </si>
  <si>
    <t>1 after 10 starts; 2 after 20 starts</t>
  </si>
  <si>
    <t>Polly Ann Series</t>
  </si>
  <si>
    <t>Throw outs:</t>
  </si>
  <si>
    <t>Cox/Sprague using series results</t>
  </si>
  <si>
    <t>Other Prizes</t>
  </si>
  <si>
    <t>Van Buren Memorial Trophy</t>
  </si>
  <si>
    <t>Hoke Simpson Memorial Trophy</t>
  </si>
  <si>
    <t>Most Improved</t>
  </si>
  <si>
    <t>Polly Ann Trophy:</t>
  </si>
  <si>
    <t>A</t>
  </si>
  <si>
    <t>B</t>
  </si>
  <si>
    <t>C</t>
  </si>
  <si>
    <t>D</t>
  </si>
  <si>
    <t>E</t>
  </si>
  <si>
    <t>Larchmont Memorial Day Regatta</t>
  </si>
  <si>
    <t>American Independence Day regatta</t>
  </si>
  <si>
    <t>Larchmont Race Week</t>
  </si>
  <si>
    <t>Larchmont Columbus Day Regatta</t>
  </si>
  <si>
    <t>DNS</t>
  </si>
  <si>
    <t>Race 1</t>
  </si>
  <si>
    <t>Race 2</t>
  </si>
  <si>
    <t>Race 3</t>
  </si>
  <si>
    <t>Total</t>
  </si>
  <si>
    <t>L4</t>
  </si>
  <si>
    <t>Scoring: Cox/Sprague using series results</t>
  </si>
  <si>
    <t>The Polly Ann trophy series consists of:</t>
  </si>
  <si>
    <t>Participation in at least 3 of the 5 events is requred to qualify.</t>
  </si>
  <si>
    <t>DNF</t>
  </si>
  <si>
    <t>Spring Series</t>
  </si>
  <si>
    <t>Summer Series</t>
  </si>
  <si>
    <t>Race 4</t>
  </si>
  <si>
    <t>38      Jean Pierre Jabart/Alain Concher</t>
  </si>
  <si>
    <t>117     Michael Katz/Bill Gollner</t>
  </si>
  <si>
    <t>221     Michael Carr</t>
  </si>
  <si>
    <t xml:space="preserve">Shields Fleet  -  Sailed: 4  Discards: 0 </t>
  </si>
  <si>
    <t>One discard if 4 or 5 events sailed.</t>
  </si>
  <si>
    <t>One if four or five series sailed</t>
  </si>
  <si>
    <t>Memorial Day Regatta</t>
  </si>
  <si>
    <t>Unofficial</t>
  </si>
  <si>
    <t xml:space="preserve">Qualification:  </t>
  </si>
  <si>
    <t>AYC</t>
  </si>
  <si>
    <t>LYC</t>
  </si>
  <si>
    <t xml:space="preserve"> Independence Day </t>
  </si>
  <si>
    <t>YRA One Design</t>
  </si>
  <si>
    <t>District Championships</t>
  </si>
  <si>
    <t>25      Fred Werblow</t>
  </si>
  <si>
    <t>106     Jamie McCreary</t>
  </si>
  <si>
    <t>49      Greg Davis</t>
  </si>
  <si>
    <t>70      Roland Schulz/Berenice</t>
  </si>
  <si>
    <t>41      Tim Sawyer</t>
  </si>
  <si>
    <t>142     Justin Gibbons</t>
  </si>
  <si>
    <t>16      Tom Sanford</t>
  </si>
  <si>
    <t>26      Kevin Hynes</t>
  </si>
  <si>
    <t>shields25c@aol.com</t>
  </si>
  <si>
    <t>khynes@netcraftsmen.net</t>
  </si>
  <si>
    <t>jjabart@us.loreal.com</t>
  </si>
  <si>
    <t>tsawyer@barrlabs.com</t>
  </si>
  <si>
    <t>gregory.w.davis@ge.com</t>
  </si>
  <si>
    <t>Roland.Schulz@wellsfargo.com</t>
  </si>
  <si>
    <t>LGSInc@aol.com</t>
  </si>
  <si>
    <t>MKatz@etrade.com</t>
  </si>
  <si>
    <t>justin.gibbons@americas.bnpparibas.com</t>
  </si>
  <si>
    <t>gmat@mindspring.com</t>
  </si>
  <si>
    <t>SkipMcGoo@aol.com</t>
  </si>
  <si>
    <t>ed.yocum@cit.com</t>
  </si>
  <si>
    <t>tkoits@aol.com</t>
  </si>
  <si>
    <t>thedukester36@aol.com</t>
  </si>
  <si>
    <t>hdevore@prudentpublishing.com</t>
  </si>
  <si>
    <t>Independence Day YRA Regatta at AYC</t>
  </si>
  <si>
    <t>Boat Number</t>
  </si>
  <si>
    <t>Race 1, June 30</t>
  </si>
  <si>
    <t>Race 2, July 1</t>
  </si>
  <si>
    <t>Race 3, July 1</t>
  </si>
  <si>
    <t>Patrick Leonard/ PJ O'Shea</t>
  </si>
  <si>
    <t>Pierre Albouy / V Leonard</t>
  </si>
  <si>
    <t>wggollner1@optonline.net</t>
  </si>
  <si>
    <t>pmassey@masseyknakal.com</t>
  </si>
  <si>
    <t>Shields Long Island Sound District Championship Regatta</t>
  </si>
  <si>
    <t>Final Results</t>
  </si>
  <si>
    <t>Place</t>
  </si>
  <si>
    <t>Sail No.</t>
  </si>
  <si>
    <t>Owner</t>
  </si>
  <si>
    <t>Fleet</t>
  </si>
  <si>
    <t>Race 5</t>
  </si>
  <si>
    <t>Larchmont</t>
  </si>
  <si>
    <t>Fred Werblow</t>
  </si>
  <si>
    <t>Wayne Marciano</t>
  </si>
  <si>
    <t>Skip McGuire</t>
  </si>
  <si>
    <t>OCS</t>
  </si>
  <si>
    <t>DNC</t>
  </si>
  <si>
    <t>5-12</t>
  </si>
  <si>
    <t>5-10</t>
  </si>
  <si>
    <t>182    Skip McGuire</t>
  </si>
  <si>
    <t>182 Skip McGuire</t>
  </si>
  <si>
    <t>142 Justin Gibbons</t>
  </si>
  <si>
    <t>Carr, Mike</t>
  </si>
  <si>
    <t>Lorentzen/Kingham/Ferrarone/Lennon</t>
  </si>
  <si>
    <t>McCreary, Jamie</t>
  </si>
  <si>
    <t>McCreary/MacClellan</t>
  </si>
  <si>
    <t>Werblow, Fred</t>
  </si>
  <si>
    <t>Gesing/Cardozo/McCabe</t>
  </si>
  <si>
    <t>McGuire, Skip</t>
  </si>
  <si>
    <t>Davis / Beardsley</t>
  </si>
  <si>
    <t>Crocker / Rogoff/Santee</t>
  </si>
  <si>
    <t>Monte-Sano, Bizzy</t>
  </si>
  <si>
    <t>Katz, Michael</t>
  </si>
  <si>
    <t>Gerety, Bill</t>
  </si>
  <si>
    <t>Gibbons, Justin</t>
  </si>
  <si>
    <t>Yocum/Massey</t>
  </si>
  <si>
    <t>Lyons/Lyons/Landis/Costello</t>
  </si>
  <si>
    <t>Orecchia, Emilio</t>
  </si>
  <si>
    <t>Bingham/Schibli/Deambrosio</t>
  </si>
  <si>
    <t>Sarfes/ Sarfas/Langley</t>
  </si>
  <si>
    <t>Hynes, Kevin</t>
  </si>
  <si>
    <t>Meyer, Neil</t>
  </si>
  <si>
    <t>Larchmont Yacht Club 106'th Race Week</t>
  </si>
  <si>
    <t>July 17-18 and July 24-25, 2004</t>
  </si>
  <si>
    <t>Crew</t>
  </si>
  <si>
    <t>Sail #</t>
  </si>
  <si>
    <t>Race 6</t>
  </si>
  <si>
    <t>Race 7</t>
  </si>
  <si>
    <t>Larchmont Yacht Club 109'th Race Week</t>
  </si>
  <si>
    <t>Race 8</t>
  </si>
  <si>
    <t>DeVore, HL</t>
  </si>
  <si>
    <t>Schultz, Roland</t>
  </si>
  <si>
    <t>deCirfontaines/Gilhodes</t>
  </si>
  <si>
    <t>Sawyer, Tim</t>
  </si>
  <si>
    <t>Weisenfluh/Weisenfluh/Csenge</t>
  </si>
  <si>
    <t>Takata/Henderson</t>
  </si>
  <si>
    <t>Official Results</t>
  </si>
  <si>
    <t xml:space="preserve">176     Greg Takata/Doug Campbell/Andrew Wertheim </t>
  </si>
  <si>
    <t>Campbell/Takata/Wertheim</t>
  </si>
  <si>
    <t>Jean Pierre Jabart/Alain Concher</t>
  </si>
  <si>
    <t>Michael Katz/Bill Gollner</t>
  </si>
  <si>
    <t>Greg Takata / Doug Campbell / Andrew Wertheim</t>
  </si>
  <si>
    <t>Michael Carr</t>
  </si>
  <si>
    <t>Pierre Albouy</t>
  </si>
  <si>
    <t>Roland Schulz/Berenice</t>
  </si>
  <si>
    <t>Justin Gibbons</t>
  </si>
  <si>
    <t>Thomas O'Brien</t>
  </si>
  <si>
    <t>Peter Hancock</t>
  </si>
  <si>
    <t>Kevin Hynes</t>
  </si>
  <si>
    <t>Neil Meyer</t>
  </si>
  <si>
    <t>Jamie McCreary</t>
  </si>
  <si>
    <t>Tom Sanford</t>
  </si>
  <si>
    <t>Tim Sawyer</t>
  </si>
  <si>
    <t>Ed Yocum/Paul Massey</t>
  </si>
  <si>
    <t>HL DeVore</t>
  </si>
  <si>
    <t xml:space="preserve">Independence Day Regatta, </t>
  </si>
  <si>
    <t xml:space="preserve">American Yacht Club, </t>
  </si>
  <si>
    <t>Owners</t>
  </si>
  <si>
    <t>http://www.larchmontyc.org/racing/2004-RW-one-design-results-3.html</t>
  </si>
  <si>
    <t>Full results at:</t>
  </si>
  <si>
    <t xml:space="preserve">Mid Summer Regatta, </t>
  </si>
  <si>
    <t>August 7-8, 2004</t>
  </si>
  <si>
    <t>RAF</t>
  </si>
  <si>
    <t>YRA One Design Champ.</t>
  </si>
  <si>
    <t>RAF - Retired After Finishing:  25 and 38 retired after finishing after being informed that they rounded a wrong windward mark.</t>
  </si>
  <si>
    <t>W3</t>
  </si>
  <si>
    <t>August 28-29, 2004</t>
  </si>
  <si>
    <t>183     Paul Massey</t>
  </si>
  <si>
    <t>YRALIS One-Design Championship</t>
  </si>
  <si>
    <t>Net</t>
  </si>
  <si>
    <t>1st</t>
  </si>
  <si>
    <t>Carr, Michael</t>
  </si>
  <si>
    <t>2nd</t>
  </si>
  <si>
    <t>3rd</t>
  </si>
  <si>
    <t>Davis/ Beardsley</t>
  </si>
  <si>
    <t>4th</t>
  </si>
  <si>
    <t>DeVore, H.L.</t>
  </si>
  <si>
    <t>5th</t>
  </si>
  <si>
    <t>6th</t>
  </si>
  <si>
    <t>7th</t>
  </si>
  <si>
    <t>8th</t>
  </si>
  <si>
    <t>9th</t>
  </si>
  <si>
    <t>10th</t>
  </si>
  <si>
    <t>11th</t>
  </si>
  <si>
    <t xml:space="preserve">Greg Takata/Doug Campbell/Andrew Wertheim </t>
  </si>
  <si>
    <r>
      <t>Shields Fleet</t>
    </r>
    <r>
      <rPr>
        <sz val="8"/>
        <rFont val="Arial"/>
        <family val="0"/>
      </rPr>
      <t>  -  Sailed: 1  Discards: 0  Ratings: None</t>
    </r>
  </si>
  <si>
    <t>Sail</t>
  </si>
  <si>
    <t>Larchmont Yacht Club</t>
  </si>
  <si>
    <t>Labor Day Regatta</t>
  </si>
  <si>
    <t>http://www.larchmontyc.org/racing/2004-Labor-Day-Results-1.htm</t>
  </si>
  <si>
    <t>September 4-5, 2004</t>
  </si>
  <si>
    <t>YC</t>
  </si>
  <si>
    <t>Shields Crew Race</t>
  </si>
  <si>
    <t>Phillips Johnston</t>
  </si>
  <si>
    <t>Chris Cardozo, Witold Gesing</t>
  </si>
  <si>
    <t>Philippe Houze</t>
  </si>
  <si>
    <t>Alex Davidson</t>
  </si>
  <si>
    <t>Chris Palmieri</t>
  </si>
  <si>
    <t>Bill Gerety</t>
  </si>
  <si>
    <t>Berenice de Germay de Cirfontaine</t>
  </si>
  <si>
    <t>Kevin Santee</t>
  </si>
  <si>
    <t>Patrick Leonard</t>
  </si>
  <si>
    <t>Skipper(s)</t>
  </si>
  <si>
    <t>Margaret Takata</t>
  </si>
  <si>
    <t>12th</t>
  </si>
  <si>
    <t>13th</t>
  </si>
  <si>
    <t>14th</t>
  </si>
  <si>
    <t>15th</t>
  </si>
  <si>
    <t>Columbus Day Regatta</t>
  </si>
  <si>
    <t>October 9-10, 2004</t>
  </si>
  <si>
    <t>Edgartown</t>
  </si>
  <si>
    <t>Campbell/Takata/Werthiem</t>
  </si>
  <si>
    <t>Roland Schulz.</t>
  </si>
  <si>
    <t>16th</t>
  </si>
  <si>
    <t>17th</t>
  </si>
  <si>
    <t>Warren Vose</t>
  </si>
  <si>
    <t>David Sarfas</t>
  </si>
  <si>
    <t>Tim  Walsh</t>
  </si>
  <si>
    <t>Kevin Hynes / Vic Onet</t>
  </si>
  <si>
    <t xml:space="preserve">Final Results </t>
  </si>
  <si>
    <r>
      <t>Shields Fleet</t>
    </r>
    <r>
      <rPr>
        <sz val="8"/>
        <rFont val="Arial"/>
        <family val="0"/>
      </rPr>
      <t>  -  Sailed: 5  Discards: 1</t>
    </r>
  </si>
  <si>
    <t>No Entry</t>
  </si>
  <si>
    <t>http://www.starclass.org/search.cgi?Action=view&amp;Event_id=388</t>
  </si>
  <si>
    <t>Full Results and Reports:</t>
  </si>
  <si>
    <t>http://www.larchmontyc.org/racing/2004-Columbus-Day-results2.htm</t>
  </si>
  <si>
    <t xml:space="preserve"> 25 Fred Werblow</t>
  </si>
  <si>
    <t>221 Mike Carr</t>
  </si>
  <si>
    <t>106 H.L. DeVore</t>
  </si>
  <si>
    <t xml:space="preserve"> 38 J.P. Jabart/ Alain Concher</t>
  </si>
  <si>
    <t xml:space="preserve"> 70 Roland Schulz</t>
  </si>
  <si>
    <t xml:space="preserve"> 49 Greg Davis</t>
  </si>
  <si>
    <t>197 Tom O'Brien</t>
  </si>
  <si>
    <t>183 Yocum/Massey/Landis</t>
  </si>
  <si>
    <t>2004/2003</t>
  </si>
  <si>
    <t>Boat and Owner</t>
  </si>
  <si>
    <t>Shields Fleet 1 2005 L.I.S. YRA Race Results</t>
  </si>
  <si>
    <t>Memorial Day Regatta: Larchmont Yacht Club, May 29-30, 2005</t>
  </si>
  <si>
    <t>Davis/Santee</t>
  </si>
  <si>
    <t>Crocker/Weisenfluh</t>
  </si>
  <si>
    <t>Weblow,Fred</t>
  </si>
  <si>
    <t>Dailey/Monte-Sano</t>
  </si>
  <si>
    <t>Yocum/Oen</t>
  </si>
  <si>
    <t>Gibbons,Justin</t>
  </si>
  <si>
    <t>Schulz,Roland</t>
  </si>
  <si>
    <t>O'Brien,Tom</t>
  </si>
  <si>
    <t>McGuire,Skip</t>
  </si>
  <si>
    <t>Katz/Gollner</t>
  </si>
  <si>
    <t>Albouy,Pierre</t>
  </si>
  <si>
    <t>IOD</t>
  </si>
  <si>
    <t>Greg Davis / Santee</t>
  </si>
  <si>
    <t>L2</t>
  </si>
  <si>
    <t>W5</t>
  </si>
  <si>
    <t>DSQ</t>
  </si>
  <si>
    <t>J. Ganson Evans</t>
  </si>
  <si>
    <t>Peter Kallman</t>
  </si>
  <si>
    <t>William Denslow</t>
  </si>
  <si>
    <t>As of July 12, 2007</t>
  </si>
  <si>
    <t>June 25-26, 2005</t>
  </si>
  <si>
    <t>Seawanhaka</t>
  </si>
  <si>
    <t>Garvies Point</t>
  </si>
  <si>
    <t>Roland Schulz</t>
  </si>
  <si>
    <t>Greg Davis / Kevin Santee</t>
  </si>
  <si>
    <t>Greg Takata/Doug Campbell/Andrew Wertheim</t>
  </si>
  <si>
    <t>YRA-LIS One Design Championship</t>
  </si>
  <si>
    <t>The series consists of the Larchmont Memorial Day Regatta, The American Independence Day Regatta, LYC Race Week, The YRA-LIS One Design Championship and the Larchmont Columbus Weekend Regatta.  Participation in at least three of the series is required.</t>
  </si>
  <si>
    <t>July 2-3, 2005</t>
  </si>
  <si>
    <t>As of July 4, 2005</t>
  </si>
  <si>
    <t>http://www.larchmontyc.org/Race_Committee/2005_RWSR_OD_RST.pdf</t>
  </si>
  <si>
    <t>Carr,Mike</t>
  </si>
  <si>
    <t>KurtWeisenfluh,ComCrocker</t>
  </si>
  <si>
    <t>Hynes,Kevin</t>
  </si>
  <si>
    <t>Davis,Greg</t>
  </si>
  <si>
    <t>Sawyer,Tim</t>
  </si>
  <si>
    <t>Concher/Jabart</t>
  </si>
  <si>
    <t>Orecchia</t>
  </si>
  <si>
    <t>MikeKatz,BillGolliner</t>
  </si>
  <si>
    <t>Johnson,Tor</t>
  </si>
  <si>
    <t>July 16-17 and July 23-24, 2005</t>
  </si>
  <si>
    <t>Larchmont Yacht Club 107'th Race Week</t>
  </si>
  <si>
    <t>DeVore,HL</t>
  </si>
  <si>
    <t>Schulz/deCirfontaine</t>
  </si>
  <si>
    <t>S-Boats</t>
  </si>
  <si>
    <t>August 27-28, 2005</t>
  </si>
  <si>
    <t>YRA One Design Championships</t>
  </si>
  <si>
    <r>
      <t> </t>
    </r>
    <r>
      <rPr>
        <b/>
        <sz val="8"/>
        <color indexed="63"/>
        <rFont val="Verdana"/>
        <family val="2"/>
      </rPr>
      <t>Division: Shields</t>
    </r>
  </si>
  <si>
    <t>Boat</t>
  </si>
  <si>
    <t>Skipper</t>
  </si>
  <si>
    <t>R1</t>
  </si>
  <si>
    <t>R2</t>
  </si>
  <si>
    <t>Checkmate</t>
  </si>
  <si>
    <t>Grace</t>
  </si>
  <si>
    <t>Rascal</t>
  </si>
  <si>
    <t>Lady</t>
  </si>
  <si>
    <t>Syrinx</t>
  </si>
  <si>
    <t>Cornelia</t>
  </si>
  <si>
    <t>Katherine</t>
  </si>
  <si>
    <t>Lure</t>
  </si>
  <si>
    <t>Knot Yet</t>
  </si>
  <si>
    <t>Coquetta</t>
  </si>
  <si>
    <t>Deja Vu</t>
  </si>
  <si>
    <t>Mermaid</t>
  </si>
  <si>
    <t>White Rabbit</t>
  </si>
  <si>
    <t>Yankee Girl</t>
  </si>
  <si>
    <t>Tango</t>
  </si>
  <si>
    <t>R3</t>
  </si>
  <si>
    <t>R4</t>
  </si>
  <si>
    <t>Burnham, John</t>
  </si>
  <si>
    <t>Berry, William</t>
  </si>
  <si>
    <t>Crocker, Com</t>
  </si>
  <si>
    <t>Dailey, Rob</t>
  </si>
  <si>
    <t>Wertheim, Andrew</t>
  </si>
  <si>
    <t>Down Town Bonanza</t>
  </si>
  <si>
    <t>Palmieri, Chris</t>
  </si>
  <si>
    <t>William E Tuthill</t>
  </si>
  <si>
    <t>O'Brien, Tom</t>
  </si>
  <si>
    <t>Gollner, Bill</t>
  </si>
  <si>
    <t>Jervis, Wayne</t>
  </si>
  <si>
    <t>Teborek, Kevin</t>
  </si>
  <si>
    <t>Schulz, Roland</t>
  </si>
  <si>
    <t>Robbins, Richard</t>
  </si>
  <si>
    <t>Havoc</t>
  </si>
  <si>
    <t>Larchmont NOOD Regatta Results</t>
  </si>
  <si>
    <t>http://www.sailingworld.com/article.jsp?ID=38676&amp;typeID=403&amp;catID=604&amp;exclude=NOOD</t>
  </si>
  <si>
    <t>Full regatta results at:</t>
  </si>
  <si>
    <t>September 10-11, 2005</t>
  </si>
  <si>
    <t>Boats participating in the NOOD regatta received 1 start credit</t>
  </si>
  <si>
    <t>Newport YC</t>
  </si>
  <si>
    <t>Pope,Jonathan</t>
  </si>
  <si>
    <t>Beverly YC</t>
  </si>
  <si>
    <t>Larchmont YC</t>
  </si>
  <si>
    <t>Gowell,John</t>
  </si>
  <si>
    <t>Conanicut YC</t>
  </si>
  <si>
    <t>Klien,Tim</t>
  </si>
  <si>
    <t>Edgartown YC</t>
  </si>
  <si>
    <t>Berry,Bill</t>
  </si>
  <si>
    <t>Werblow,Fred</t>
  </si>
  <si>
    <t>Monk,Robin</t>
  </si>
  <si>
    <t>Ida Lewis YC</t>
  </si>
  <si>
    <t>Mason Is. YC</t>
  </si>
  <si>
    <t>Teborek,Kevin</t>
  </si>
  <si>
    <t>Chicago YC</t>
  </si>
  <si>
    <t>Jervis,Wayne</t>
  </si>
  <si>
    <t>Robbins,Richard</t>
  </si>
  <si>
    <t>Yacht Club</t>
  </si>
  <si>
    <t>*106 restarted</t>
  </si>
  <si>
    <t>http://www.larchmontyc.org/Race_Committee/2005_SHNAT_RST.pdf</t>
  </si>
  <si>
    <t>40'th Annual Shields Nationals</t>
  </si>
  <si>
    <t>September 15-17, 2005</t>
  </si>
  <si>
    <t>R5</t>
  </si>
  <si>
    <t>YRA of LIS Shields Crew Race- September 24, 2005</t>
  </si>
  <si>
    <t>dnc/9</t>
  </si>
  <si>
    <t>Upon arrival at LYC at noon the water outside the breakwater was white with big seas. It looked like it might be a gear buster. By the time of the start of racing the wind had backed off, but there was still a bit of rough water. As the afternoon wore on, both the wind and seas clamed down.</t>
  </si>
  <si>
    <t>The following five Shields ventured forth from the harbor into the rough seas and breeze to participate with the following skippers:</t>
  </si>
  <si>
    <t xml:space="preserve">            Rascal  #23          Chris Folley and Scott Wenzler</t>
  </si>
  <si>
    <t xml:space="preserve">            Tailsman #38        Eric Jabart</t>
  </si>
  <si>
    <t xml:space="preserve">                       #54            Neil Meyer (crew from #70)</t>
  </si>
  <si>
    <t xml:space="preserve">            Katherine #176     Mike Puleo</t>
  </si>
  <si>
    <t>2007/06</t>
  </si>
  <si>
    <t>New Skippers</t>
  </si>
  <si>
    <t>The first race was L4, one mile and Neil Meyer won by over 5 1/2 minutes in front of Mike Puleo followed closely in 15 seconds by Stephane Lautner and 13 seconds behind him was Chris Folley. Eric Jabart was great to have raced and headed home after rounding the last windward mark.</t>
  </si>
  <si>
    <t>By the time the second race started for the Shields the wind had moved to the south east and was very light; so the course was L2, 3/4 mile. The finish was very close as Stephane Lautner was across the line 15 seconds ahead of Mike Puleo. 22 seconds after came Neil Meyer followed by Scott Wenzler.</t>
  </si>
  <si>
    <t>The overall results showed a three way tie with Stephane Lautner, Neil Meyer and Mike Puleo all with 4 points. As both Stephane and Neil had first places whereas Mike didn't, that created another tie which was broken as Stephen beat Neil in the last race.</t>
  </si>
  <si>
    <t>Accordingly, the final results are:</t>
  </si>
  <si>
    <t xml:space="preserve">    !. Stephane Lautner</t>
  </si>
  <si>
    <t xml:space="preserve">   2. Neil Meyer</t>
  </si>
  <si>
    <t xml:space="preserve">   3. Mike Puleo</t>
  </si>
  <si>
    <t xml:space="preserve">   4. Chris Folley and Scott Wenzler</t>
  </si>
  <si>
    <t xml:space="preserve">   5. Eric Jabart</t>
  </si>
  <si>
    <t>Congratulations to the skippers who raced in the 2005 Shields Fleet #1 Crew Race and to those owners who encouraged these skippers and lent their boats to them.</t>
  </si>
  <si>
    <t>The following sailors stayed off the race course and did a superb job in conducting the regatta:</t>
  </si>
  <si>
    <t xml:space="preserve">    Chris Cardozo</t>
  </si>
  <si>
    <t xml:space="preserve">    Alain Concher</t>
  </si>
  <si>
    <t xml:space="preserve">    Com Crocker</t>
  </si>
  <si>
    <t xml:space="preserve">    Justin Gibbons</t>
  </si>
  <si>
    <t>Tim Sawyer kindly lent his power boat to help conduct the regatta and LYC RC Chair Cynthia Parthemos provided much need advise and equipment to the Shields Race Committee before they left the dock</t>
  </si>
  <si>
    <t>Respectfully submitted,</t>
  </si>
  <si>
    <t>Acting Shields RC Chairman.</t>
  </si>
  <si>
    <t>Chris Folley and Scott Wenzler</t>
  </si>
  <si>
    <t>Eric Jabart</t>
  </si>
  <si>
    <t>Stephane Lautner</t>
  </si>
  <si>
    <t>Mike Puelo</t>
  </si>
  <si>
    <t xml:space="preserve">            Havoc #41            Stephane Lautner</t>
  </si>
  <si>
    <t>Boats running and participating in the Crew Race received 1 start credit</t>
  </si>
  <si>
    <t>Weisenfluh,Kurt;Crocker,Com</t>
  </si>
  <si>
    <t>Parry,W,Scott</t>
  </si>
  <si>
    <t>Baer,Reed; Burnham,John</t>
  </si>
  <si>
    <t>Coles,Mallory; Shoemaker,Charles</t>
  </si>
  <si>
    <t>Monte-Sano,Bizzy; Dailey,Rob</t>
  </si>
  <si>
    <t>DeVore,H L</t>
  </si>
  <si>
    <t>Maurus,Bob; Roberts,Kim</t>
  </si>
  <si>
    <t>Massey,Paul; Yocum,Ed</t>
  </si>
  <si>
    <t>Katz,MIke; Gollner,Bill</t>
  </si>
  <si>
    <r>
      <t>Cox-Sprague Scoring System</t>
    </r>
    <r>
      <rPr>
        <b/>
        <u val="single"/>
        <sz val="10"/>
        <rFont val="Arial"/>
        <family val="0"/>
      </rPr>
      <t xml:space="preserve"> </t>
    </r>
  </si>
  <si>
    <r>
      <t>Fleet 1 Season Scoring</t>
    </r>
    <r>
      <rPr>
        <b/>
        <sz val="10"/>
        <rFont val="Arial"/>
        <family val="0"/>
      </rPr>
      <t xml:space="preserve"> </t>
    </r>
  </si>
  <si>
    <t>A boat will be allowed to discard one off her starts for every 10 races sailed to the maximum of 3.</t>
  </si>
  <si>
    <t>Columbus</t>
  </si>
  <si>
    <t>Bill Barry</t>
  </si>
  <si>
    <t>October 8-9, 2005</t>
  </si>
  <si>
    <t>Shields Fleet</t>
  </si>
  <si>
    <t>system published in the LISYRA handbook:</t>
  </si>
  <si>
    <t>This change only affects the boats which were disqualified (DSQ, OCS) and the boats that did not finish (DNF).</t>
  </si>
  <si>
    <t xml:space="preserve">2) The score for boats that finish worse than 20 is computed using a formula which results in scores ranging from </t>
  </si>
  <si>
    <t xml:space="preserve">by the LISYRA version in which the 21'st place gets a score of 58% and subsequent scores decrease </t>
  </si>
  <si>
    <t>by 1% per place. For large fleets this would result in negative scores for boats finishing 80'th or higher.</t>
  </si>
  <si>
    <t>This change only affects races with more than 20 participants.</t>
  </si>
  <si>
    <t>3) The score for a boat that finishes second in a two boat race has been changed from 40% to 70%.</t>
  </si>
  <si>
    <t>This is more consistent with the 67.7% score assigned to a boat that finishes third in a three boat</t>
  </si>
  <si>
    <t>This change only affects races with exactly 2 participants.</t>
  </si>
  <si>
    <t>are one or more races in which there are only 2 starters.</t>
  </si>
  <si>
    <t>both systems B is ahead, as she should be, by winning races with more starters.</t>
  </si>
  <si>
    <t>race and a 59% score assigned to the boat that finishes last in a 20 boat race.</t>
  </si>
  <si>
    <t xml:space="preserve">1) The sub-diagonal of the Cox-Sprague table containing the DNF and DSQ scores is removed. </t>
  </si>
  <si>
    <t xml:space="preserve">The DNF and DSQ are awarded a score for a place equal to the number of starters plus one </t>
  </si>
  <si>
    <t>obtained from the column of the CSG table for number of starters plus one.  This change was</t>
  </si>
  <si>
    <t>for the boats that fail to finish or are disqualified than the original Cox-Sprague system.</t>
  </si>
  <si>
    <t>made for consistency with the current YRA scoring systems and is much less punishing</t>
  </si>
  <si>
    <t>Examples:</t>
  </si>
  <si>
    <t>Explanation of modifications to the LISYRA Cox-Sprague scoring system:</t>
  </si>
  <si>
    <t>There are three differences between the modified Cox-Sprague Scoring System and the Cox-Sprague Scoring</t>
  </si>
  <si>
    <t>Com Crocker/ Kurt Weisenfluh</t>
  </si>
  <si>
    <t>Score</t>
  </si>
  <si>
    <t xml:space="preserve"> finish ranging 70% to 59% in races with 20 or fewer boats than the scores assigned </t>
  </si>
  <si>
    <t>This is more in line with the rest of the CS table which assigns scores for the last place</t>
  </si>
  <si>
    <t xml:space="preserve">58.4% for the 21'st place to 54.5% for the 200'th place. </t>
  </si>
  <si>
    <t>Discards:</t>
  </si>
  <si>
    <t>Modified Cox-Sprague Scoring System:</t>
  </si>
  <si>
    <t xml:space="preserve">or is disqualified in a race shall receive a score for the place one greater than the number of starters in that race using the next </t>
  </si>
  <si>
    <t xml:space="preserve"> To protect the innocent, please clearly identify and document any changes, improvements, modifications or additions.</t>
  </si>
  <si>
    <t xml:space="preserve"> If there is more than one discard, this process is repeated using the remaining race results.</t>
  </si>
  <si>
    <t>greatest improvement in the resulting C-S score is discarted and the improved C-S score is returned.</t>
  </si>
  <si>
    <t>If one of the results is to be discarded in computing the boat's series score, the race result whose removal results in the</t>
  </si>
  <si>
    <t>Unofficial*</t>
  </si>
  <si>
    <t>As of Oct. 10, 2005</t>
  </si>
  <si>
    <t>Boats participating in the Shields Nationals received 1 start credit</t>
  </si>
  <si>
    <t>As of Oct 10, 2005</t>
  </si>
  <si>
    <t>2005/2004</t>
  </si>
  <si>
    <t>Shields Fleet 1 2004 L.I.S. YRA Race Results</t>
  </si>
  <si>
    <t>As of October 10, 2004</t>
  </si>
  <si>
    <t>Huguenot</t>
  </si>
  <si>
    <t>AYC Mid Summer</t>
  </si>
  <si>
    <t>Labor Day</t>
  </si>
  <si>
    <t>Columbus Regatta</t>
  </si>
  <si>
    <t>15-25</t>
  </si>
  <si>
    <t>10-18</t>
  </si>
  <si>
    <t>8-12</t>
  </si>
  <si>
    <t>6-10</t>
  </si>
  <si>
    <t>12-18</t>
  </si>
  <si>
    <t>3-12</t>
  </si>
  <si>
    <t>8-15</t>
  </si>
  <si>
    <t>0-5</t>
  </si>
  <si>
    <t>0-2</t>
  </si>
  <si>
    <t>2-5</t>
  </si>
  <si>
    <t>6-8</t>
  </si>
  <si>
    <t>6-12</t>
  </si>
  <si>
    <t>231     HL DeVore</t>
  </si>
  <si>
    <t>182     Skip  McGuire</t>
  </si>
  <si>
    <t>197     Thomas O'Brien</t>
  </si>
  <si>
    <t>54      Neil Meyer</t>
  </si>
  <si>
    <t>183     Ed Yocum/Paul Massey</t>
  </si>
  <si>
    <t>5        Pierre Albouy</t>
  </si>
  <si>
    <t>22      Peter Hancock</t>
  </si>
  <si>
    <t>** Aug 22: Races Abandoned due to lack of wind</t>
  </si>
  <si>
    <t xml:space="preserve">    Sep 18 races abandoned due too much wind</t>
  </si>
  <si>
    <t>&lt;40%</t>
  </si>
  <si>
    <t>new 2005</t>
  </si>
  <si>
    <t>Prizes will be awarded as above for a series comprising the Memorial Day, Independence Day, YRA One-Design Championship and Columbus</t>
  </si>
  <si>
    <t>Day Regattas. This series will be scored according to the Cox-Sprague Scoring System. To qualify, an owner must start at least 50% of</t>
  </si>
  <si>
    <t>the races.</t>
  </si>
  <si>
    <t>PRIZES - YRA of LIS prizes will be awarded to each owner qualifying and placing first (1 or more qualifiers), second (5 or more), third</t>
  </si>
  <si>
    <t>Schedule. This series qualifies a boat to compete for the Cow Bay Perpetual Trophy provided that the boat is in</t>
  </si>
  <si>
    <t>an ISAF-recognized class. This series qualifies a boat to compete for the Russell J. Nall Memorial Trophy provided that the boat is scored</t>
  </si>
  <si>
    <t>according to the Cox-Sprague Scoring System as adopted by the YRA of LIS.</t>
  </si>
  <si>
    <t>*Results for the Etchells races on Oct 1 are incomplete</t>
  </si>
  <si>
    <t>Etchells</t>
  </si>
  <si>
    <r>
      <t xml:space="preserve">(8 or more), fourth (15 or more) and fifth (20 or more) in season scores. In order to rank as qualifying, </t>
    </r>
    <r>
      <rPr>
        <b/>
        <sz val="8"/>
        <rFont val="Arial"/>
        <family val="2"/>
      </rPr>
      <t>the owner must start at least 50% of</t>
    </r>
  </si>
  <si>
    <r>
      <t>the races</t>
    </r>
    <r>
      <rPr>
        <sz val="8"/>
        <rFont val="Arial"/>
        <family val="0"/>
      </rPr>
      <t>, but not less than 10, designated by each fleet from the</t>
    </r>
  </si>
  <si>
    <t>RC Credits</t>
  </si>
  <si>
    <t>Nationals</t>
  </si>
  <si>
    <t>Nood</t>
  </si>
  <si>
    <t>Crew Race</t>
  </si>
  <si>
    <t>Participation Credits:</t>
  </si>
  <si>
    <t>Credits</t>
  </si>
  <si>
    <t>Number of Starts includes participation credits added for Nationals, NOOD and for running or participating in the Crew race</t>
  </si>
  <si>
    <t>50% of the number of races (8 starts) needed to qualify.</t>
  </si>
  <si>
    <t>40% of the number of races (16 starts) needed to qualify.</t>
  </si>
  <si>
    <t>As of Oct. 11, 2005</t>
  </si>
  <si>
    <t>50% of the number of races (9 starts) needed to qualify.</t>
  </si>
  <si>
    <t>Most Improved Trophy Standings</t>
  </si>
  <si>
    <t>IOD 2005 L.I.S. YRA Race Results</t>
  </si>
  <si>
    <t>Jim Bishop, Jr.</t>
  </si>
  <si>
    <t>Chris Casiraghi</t>
  </si>
  <si>
    <t>Jennifer Miller</t>
  </si>
  <si>
    <t>Jeffrey Feehan</t>
  </si>
  <si>
    <t>Tony Huston</t>
  </si>
  <si>
    <t>Jim Bishop</t>
  </si>
  <si>
    <t>Marion Maneker</t>
  </si>
  <si>
    <t>S-Boat 2005 L.I.S. YRA Race Results</t>
  </si>
  <si>
    <t>Bill Simmons</t>
  </si>
  <si>
    <t>Alex vonBidder</t>
  </si>
  <si>
    <t>George Hanson</t>
  </si>
  <si>
    <t>Robert Mehlich</t>
  </si>
  <si>
    <t>Richard Beck</t>
  </si>
  <si>
    <t>Bill Riley</t>
  </si>
  <si>
    <t>Etchells 2005 L.I.S. YRA Race Results</t>
  </si>
  <si>
    <t>Jim Callahan</t>
  </si>
  <si>
    <t>Drew Shea</t>
  </si>
  <si>
    <t>Chris Marx</t>
  </si>
  <si>
    <t>Jeremy Wurmfeld</t>
  </si>
  <si>
    <t>Smalley / Corwin</t>
  </si>
  <si>
    <t>Skip Gailard</t>
  </si>
  <si>
    <t>Shields Fleet 1 2006 L.I.S. YRA Race Results</t>
  </si>
  <si>
    <t>Larchmont NOOD</t>
  </si>
  <si>
    <t>http://www.larchmontyc.org/racing/documents/2006MemorialDay.pdf</t>
  </si>
  <si>
    <t>Full Results at:</t>
  </si>
  <si>
    <t>Kevin Hynes / Tom Gallagher</t>
  </si>
  <si>
    <t>Owner / Skipper</t>
  </si>
  <si>
    <t>Michael Katz / Bill Gollner</t>
  </si>
  <si>
    <t>Jean Pierre Jabart / Alain Concher</t>
  </si>
  <si>
    <t>Shields Fleet:</t>
  </si>
  <si>
    <t>May 27-28, 2006</t>
  </si>
  <si>
    <t>Memorial Day Regatta,</t>
  </si>
  <si>
    <t xml:space="preserve">Larchmont Yacht Club, </t>
  </si>
  <si>
    <t>Shields</t>
  </si>
  <si>
    <t>S Boats</t>
  </si>
  <si>
    <t>Columbus Day</t>
  </si>
  <si>
    <t>NOOD:</t>
  </si>
  <si>
    <t>whether the NOOD results should be included in the standings for the</t>
  </si>
  <si>
    <t>season, whether there should be a subsidy, and whether the regatta</t>
  </si>
  <si>
    <t>will be the Corny Shields Memorial Regatta.</t>
  </si>
  <si>
    <t>It was resolved that the NOOD results will be included in the</t>
  </si>
  <si>
    <t>standings, but unless it is totally unworkable from a scoring</t>
  </si>
  <si>
    <t>perspective, those not participating will not be penalized when</t>
  </si>
  <si>
    <t>being evaluated for any sort of qualification.  Our Scorer, Witold</t>
  </si>
  <si>
    <t>2007 Crew Race</t>
  </si>
  <si>
    <t>9/22 2007</t>
  </si>
  <si>
    <t>Skippers</t>
  </si>
  <si>
    <t>has confirmed that scoring in this manner is achievable.</t>
  </si>
  <si>
    <t>The Fleet agreed to a $100 subsidy for any Shields participant in</t>
  </si>
  <si>
    <t>the NOOD.</t>
  </si>
  <si>
    <t>The regatta will also continue to be the Corny Shields Memorial</t>
  </si>
  <si>
    <t>Regatta.</t>
  </si>
  <si>
    <t>It was agreed that those boats participating in the BBR will receive</t>
  </si>
  <si>
    <t>a race credit in the same way a boat participating in the Nationals</t>
  </si>
  <si>
    <t>would receive a race credit.</t>
  </si>
  <si>
    <t>It was determined that the following regattas will be included in</t>
  </si>
  <si>
    <t>the Polly Ann Trophy: Memorial Day, Independence Day, Race Week, YRA</t>
  </si>
  <si>
    <t>One Design and Columbus Day.  Vic Onet, the donor of this award that</t>
  </si>
  <si>
    <t>is named after his two daughters, has agreed the changes.</t>
  </si>
  <si>
    <t>50% of starts on YRA schedule, not counting the races in the NOOD regatta</t>
  </si>
  <si>
    <t>50% of starts on YRA schedule prior to the LYC Race Week</t>
  </si>
  <si>
    <t>All starts on the YRA schedule prior to LYC Race Week, including the Memorial Day Regatta, the Shields Disctricts and the Independence Day Regatta.</t>
  </si>
  <si>
    <t>Vic Onet is the donor of this award that is named after his two daughters.</t>
  </si>
  <si>
    <t>Discussion on Scoring from the Fleet One 2006 Spring Fleet Meeting:</t>
  </si>
  <si>
    <t>The Cox-Sprague scoring system as shown in the One Design Championship Rules section of the YRA Year Book is recommended; however,each fl eet may choose any scoring system. A TLE is scored by adding 50% of the difference between the number of fi nishers and starters (truncated if a fraction) to the number of fi nishers.</t>
  </si>
  <si>
    <t>As of Oct, 10th, 2007</t>
  </si>
  <si>
    <t xml:space="preserve"> YRA of LIS prizes will be awarded to each owner qualifying and placing fi rst (1 or more qualifi ers), second (5 or more), third(8 or more), fourth (15 or more) and fi fth (20 or more) in season scores. In order to rank as qualifying, the owner must start at least 50% ofthe races, but not less than 10, designated by each fl eet from theSchedule. This series qualifi es a boat to compete for the Cow Bay Perpetual Trophy provided that the boat is inan ISAF-recognized class. This series qualifi es a boat to compete for the Russell J. Nall Memorial Trophy provided that the boat is scoredaccording to the Cox-Sprague Scoring System as adopted by the YRA of LIS.Prizes will be awarded as above for a series comprising the Memorial Day, Independence Day, YRA One-Design Championship and ColumbusDay Regattas. This series will be scored according to the Cox-Sprague Scoring System. To qualify, an owner must start at least 50% ofthe races.</t>
  </si>
  <si>
    <t>YRA Prizes</t>
  </si>
  <si>
    <t>3-8</t>
  </si>
  <si>
    <t>E22</t>
  </si>
  <si>
    <t>Shields Fleet One uses the Cox-Sprague system with the table given in the CS_Table tab of this workbook. This table differs from the YRA Year book table in the score assigned to the boat that finishes second in a two boat race, the scores assigned to boats that finish 21st or higher and the boats that are disqualified or do not finish.</t>
  </si>
  <si>
    <t>Memorial Day</t>
  </si>
  <si>
    <t>Polly Ann Trophy 2006</t>
  </si>
  <si>
    <t>ccrocker@lehman.com</t>
  </si>
  <si>
    <t>tbg@shipfinance.net</t>
  </si>
  <si>
    <t>INTIME</t>
  </si>
  <si>
    <t>Swampfox</t>
  </si>
  <si>
    <t>Pierre Albouy / George Stone</t>
  </si>
  <si>
    <t>F*U*N</t>
  </si>
  <si>
    <t>Tom Sanford / Emilio Orecchia</t>
  </si>
  <si>
    <t>eo@pallmallpartners.com</t>
  </si>
  <si>
    <t>Sambucca</t>
  </si>
  <si>
    <t>neil.meyer@lehman.com</t>
  </si>
  <si>
    <t>Roland Schulz /  Berenice &amp; Alexandre deCirfontaine</t>
  </si>
  <si>
    <t>john.mawe@lehman.com</t>
  </si>
  <si>
    <t>Justin Gibbons / Phillips Johnston</t>
  </si>
  <si>
    <t>Ed Yocum / Paul Massey</t>
  </si>
  <si>
    <t>Alice</t>
  </si>
  <si>
    <t>Talisman</t>
  </si>
  <si>
    <t>Cyma</t>
  </si>
  <si>
    <t>Blue Moon</t>
  </si>
  <si>
    <t>Sandra</t>
  </si>
  <si>
    <t>Teaser</t>
  </si>
  <si>
    <t>Avatar</t>
  </si>
  <si>
    <t xml:space="preserve">Boat </t>
  </si>
  <si>
    <t>John Mawe</t>
  </si>
  <si>
    <t>Seawanhaka Corinthian Yacht Club - Shields Fleet 5</t>
  </si>
  <si>
    <t>2006 Shields District Championship Regatta -Western Long Island Sound District</t>
  </si>
  <si>
    <t>Rank</t>
  </si>
  <si>
    <t>SailNo</t>
  </si>
  <si>
    <t>Notes</t>
  </si>
  <si>
    <t>Werblow</t>
  </si>
  <si>
    <t>Marciano</t>
  </si>
  <si>
    <t>Crocker/  Weisenfluh</t>
  </si>
  <si>
    <t>Denslow</t>
  </si>
  <si>
    <t>Carr</t>
  </si>
  <si>
    <t>Wilcox</t>
  </si>
  <si>
    <t>Hynes / Gallagher</t>
  </si>
  <si>
    <t>McGuire</t>
  </si>
  <si>
    <t>Race 2: #182 lost protest to 246</t>
  </si>
  <si>
    <t>Niedringhaus</t>
  </si>
  <si>
    <t>Hummler</t>
  </si>
  <si>
    <t>Russell</t>
  </si>
  <si>
    <t>Cushman</t>
  </si>
  <si>
    <t>Mawe</t>
  </si>
  <si>
    <t>June 24-25, 2006</t>
  </si>
  <si>
    <t>http://www.seawanhaka.org/archives/ShieldsDistricts06242006Final.htm</t>
  </si>
  <si>
    <t>Full Results At:</t>
  </si>
  <si>
    <t>3-10</t>
  </si>
  <si>
    <t>Districts</t>
  </si>
  <si>
    <t>gstone@clovercap.com</t>
  </si>
  <si>
    <t>2006 YRA INDEPENDENCE DAY REGATTA</t>
  </si>
  <si>
    <t>R-1</t>
  </si>
  <si>
    <t>R-2</t>
  </si>
  <si>
    <t>R-3</t>
  </si>
  <si>
    <t>R-4</t>
  </si>
  <si>
    <t>R-5</t>
  </si>
  <si>
    <t>2.5*</t>
  </si>
  <si>
    <t>S-boats</t>
  </si>
  <si>
    <t>*After redress</t>
  </si>
  <si>
    <t>American Yacht Club</t>
  </si>
  <si>
    <t>July 1-2, 2006</t>
  </si>
  <si>
    <t>iIt was determined that the following regattas will be included in</t>
  </si>
  <si>
    <t>At the 2006 Shields Fleet One spring meeting</t>
  </si>
  <si>
    <t>As of July 9, 2006</t>
  </si>
  <si>
    <t>Fleet One Spring Series</t>
  </si>
  <si>
    <t>Larchmont Yacht Club 108'th Race Week</t>
  </si>
  <si>
    <t>July 15-16 and July 22-23, 2006</t>
  </si>
  <si>
    <t>TieBreak</t>
  </si>
  <si>
    <t>8-20</t>
  </si>
  <si>
    <t>http://www.larchmontyc.org/racing/documents/RWOne06Results_005.pdf</t>
  </si>
  <si>
    <t>3-5</t>
  </si>
  <si>
    <t>Shields Fleet 1 2006 L.I.S. Summer Series YRA Race Results</t>
  </si>
  <si>
    <t xml:space="preserve"> starts needed to "qualify"</t>
  </si>
  <si>
    <t>3-15</t>
  </si>
  <si>
    <t>YRA Champs.</t>
  </si>
  <si>
    <t>2006 Shields National Championship</t>
  </si>
  <si>
    <t>Final Series Standings - 7 races scored</t>
  </si>
  <si>
    <t>Regatta results saved: Saturday, August 12, 2006 4:12:21 PM EDT</t>
  </si>
  <si>
    <t>Pos</t>
  </si>
  <si>
    <t>Sail  </t>
  </si>
  <si>
    <t>Boat  </t>
  </si>
  <si>
    <t>Skipper  </t>
  </si>
  <si>
    <t>Co-Skipper  </t>
  </si>
  <si>
    <t>Club  </t>
  </si>
  <si>
    <t>   1     </t>
  </si>
  <si>
    <t>   2     </t>
  </si>
  <si>
    <t>   3     </t>
  </si>
  <si>
    <t>   4     </t>
  </si>
  <si>
    <t>   5     </t>
  </si>
  <si>
    <t>   6     </t>
  </si>
  <si>
    <t>   7     </t>
  </si>
  <si>
    <t>1  </t>
  </si>
  <si>
    <t>239  </t>
  </si>
  <si>
    <t>Syrinx  </t>
  </si>
  <si>
    <t>Berry, William  </t>
  </si>
  <si>
    <t>   </t>
  </si>
  <si>
    <t>BYC  </t>
  </si>
  <si>
    <t>2  </t>
  </si>
  <si>
    <t>[4]  </t>
  </si>
  <si>
    <t>10.00  </t>
  </si>
  <si>
    <t>217  </t>
  </si>
  <si>
    <t>John Dory  </t>
  </si>
  <si>
    <t>Hilton, Jamie  </t>
  </si>
  <si>
    <t>Shumway, Charlie  </t>
  </si>
  <si>
    <t>Sail Newport  </t>
  </si>
  <si>
    <t>[7]  </t>
  </si>
  <si>
    <t>3  </t>
  </si>
  <si>
    <t>4  </t>
  </si>
  <si>
    <t>15.00  </t>
  </si>
  <si>
    <t>107  </t>
  </si>
  <si>
    <t>Grace  </t>
  </si>
  <si>
    <t>Burnham, John  </t>
  </si>
  <si>
    <t>Baer, Reed  </t>
  </si>
  <si>
    <t>Ida Lewis  </t>
  </si>
  <si>
    <t>[11/ZFP]  </t>
  </si>
  <si>
    <t>8  </t>
  </si>
  <si>
    <t>5  </t>
  </si>
  <si>
    <t>24.00  </t>
  </si>
  <si>
    <t>23  </t>
  </si>
  <si>
    <t>Rascal  </t>
  </si>
  <si>
    <t>Crocker, Com  </t>
  </si>
  <si>
    <t>Weisenfluh, Kurt  </t>
  </si>
  <si>
    <t>Larchmont  </t>
  </si>
  <si>
    <t>9  </t>
  </si>
  <si>
    <t>6  </t>
  </si>
  <si>
    <t>7  </t>
  </si>
  <si>
    <t>[11]  </t>
  </si>
  <si>
    <t>34.00  </t>
  </si>
  <si>
    <t>220  </t>
  </si>
  <si>
    <t>Madame X  </t>
  </si>
  <si>
    <t>Pope, Jonathan  </t>
  </si>
  <si>
    <t>12  </t>
  </si>
  <si>
    <t>[17]  </t>
  </si>
  <si>
    <t>35.00  </t>
  </si>
  <si>
    <t>138  </t>
  </si>
  <si>
    <t>Envy  </t>
  </si>
  <si>
    <t>Withers, Chris  </t>
  </si>
  <si>
    <t>Lotz, Wendy  </t>
  </si>
  <si>
    <t>NY YC  </t>
  </si>
  <si>
    <t>11  </t>
  </si>
  <si>
    <t>[14]  </t>
  </si>
  <si>
    <t>10  </t>
  </si>
  <si>
    <t>41.00  </t>
  </si>
  <si>
    <t>224  </t>
  </si>
  <si>
    <t>Virginia  </t>
  </si>
  <si>
    <t>Clark, Peter  </t>
  </si>
  <si>
    <t>Bundy, Walter  </t>
  </si>
  <si>
    <t>Fishing Bay  </t>
  </si>
  <si>
    <t>[25/DNF]  </t>
  </si>
  <si>
    <t>42.00  </t>
  </si>
  <si>
    <t>245  </t>
  </si>
  <si>
    <t>Hawk  </t>
  </si>
  <si>
    <t>Shoemaker, Charles  </t>
  </si>
  <si>
    <t>Newport  </t>
  </si>
  <si>
    <t>[13]  </t>
  </si>
  <si>
    <t>13  </t>
  </si>
  <si>
    <t>43.00  </t>
  </si>
  <si>
    <t>244  </t>
  </si>
  <si>
    <t>Nuts  </t>
  </si>
  <si>
    <t>Hall, Larry  </t>
  </si>
  <si>
    <t>Walsh, Bill  </t>
  </si>
  <si>
    <t>15  </t>
  </si>
  <si>
    <t>47.00  </t>
  </si>
  <si>
    <t>235  </t>
  </si>
  <si>
    <t>Harrier  </t>
  </si>
  <si>
    <t>Quinn, Graham  </t>
  </si>
  <si>
    <t>55.00  </t>
  </si>
  <si>
    <t>205  </t>
  </si>
  <si>
    <t>Wells, Shane  </t>
  </si>
  <si>
    <t>[24]  </t>
  </si>
  <si>
    <t>58.00  </t>
  </si>
  <si>
    <t>58  </t>
  </si>
  <si>
    <t>Undertaker II  </t>
  </si>
  <si>
    <t>Potter, Tripp  </t>
  </si>
  <si>
    <t>EYC  </t>
  </si>
  <si>
    <t>17  </t>
  </si>
  <si>
    <t>20  </t>
  </si>
  <si>
    <t>[21]  </t>
  </si>
  <si>
    <t>74.00  </t>
  </si>
  <si>
    <t>238  </t>
  </si>
  <si>
    <t>White Rabbit  </t>
  </si>
  <si>
    <t>Robbins, Richard  </t>
  </si>
  <si>
    <t>Robbins, Ethan  </t>
  </si>
  <si>
    <t>[18]  </t>
  </si>
  <si>
    <t>14  </t>
  </si>
  <si>
    <t>76.00  </t>
  </si>
  <si>
    <t>127  </t>
  </si>
  <si>
    <t>Egret  </t>
  </si>
  <si>
    <t>Holloway, Dan  </t>
  </si>
  <si>
    <t>Calabro, Richard  </t>
  </si>
  <si>
    <t>[19]  </t>
  </si>
  <si>
    <t>79.00  </t>
  </si>
  <si>
    <t>247  </t>
  </si>
  <si>
    <t>Kiskadee  </t>
  </si>
  <si>
    <t>Symchych, Stephen  </t>
  </si>
  <si>
    <t>14/ZFP  </t>
  </si>
  <si>
    <t>18  </t>
  </si>
  <si>
    <t>16  </t>
  </si>
  <si>
    <t>[22]  </t>
  </si>
  <si>
    <t>84.00  </t>
  </si>
  <si>
    <t>223  </t>
  </si>
  <si>
    <t>Aileen  </t>
  </si>
  <si>
    <t>Bryan, Tim  </t>
  </si>
  <si>
    <t>[16]  </t>
  </si>
  <si>
    <t>14.5/RDG  </t>
  </si>
  <si>
    <t>85.50  </t>
  </si>
  <si>
    <t>182  </t>
  </si>
  <si>
    <t>Lure  </t>
  </si>
  <si>
    <t>McGuire, Skip  </t>
  </si>
  <si>
    <t>19  </t>
  </si>
  <si>
    <t>86.00  </t>
  </si>
  <si>
    <t>Déjà Vu  </t>
  </si>
  <si>
    <t>Klein, John  </t>
  </si>
  <si>
    <t>Salisbury, Russ  </t>
  </si>
  <si>
    <t>23/ZFP  </t>
  </si>
  <si>
    <t>89.00  </t>
  </si>
  <si>
    <t>42  </t>
  </si>
  <si>
    <t>Alexa  </t>
  </si>
  <si>
    <t>Weeks, Josh  </t>
  </si>
  <si>
    <t>[20]  </t>
  </si>
  <si>
    <t>90.00  </t>
  </si>
  <si>
    <t>Goodnews  </t>
  </si>
  <si>
    <t>Gardner, George  </t>
  </si>
  <si>
    <t>[23]  </t>
  </si>
  <si>
    <t>21  </t>
  </si>
  <si>
    <t>103.00  </t>
  </si>
  <si>
    <t>Anduril  </t>
  </si>
  <si>
    <t>Adams, Mark  </t>
  </si>
  <si>
    <t>22  </t>
  </si>
  <si>
    <t>110.00  </t>
  </si>
  <si>
    <t>248  </t>
  </si>
  <si>
    <t>Grinch  </t>
  </si>
  <si>
    <t>Van Inwegen, Andrea  </t>
  </si>
  <si>
    <t>114.00  </t>
  </si>
  <si>
    <t>66  </t>
  </si>
  <si>
    <t>Juice  </t>
  </si>
  <si>
    <t>Gamache, Richard  </t>
  </si>
  <si>
    <t>123.00  </t>
  </si>
  <si>
    <t>24  </t>
  </si>
  <si>
    <t>1244  </t>
  </si>
  <si>
    <t>Gang Agley  </t>
  </si>
  <si>
    <t>Hall, Benjamin  </t>
  </si>
  <si>
    <t>25/DNC  </t>
  </si>
  <si>
    <t>132.00  </t>
  </si>
  <si>
    <t>- Scoring System is ISAF Low Point 2005-2008</t>
  </si>
  <si>
    <t>- Finishes in [brackets] denote throwouts</t>
  </si>
  <si>
    <t xml:space="preserve">- Time limit penalty is: DNF </t>
  </si>
  <si>
    <t>Principal Race Officer: Gordon Vineyard</t>
  </si>
  <si>
    <t xml:space="preserve">Jury Chair: Tom Farquhar </t>
  </si>
  <si>
    <t>Version 4.3.1.03: Regatta scoring by JavaScore, an Open Source project available at http://www.gromurph.org/javascore</t>
  </si>
  <si>
    <t>http://www.shieldsclass.com/2006/</t>
  </si>
  <si>
    <t>Full results and photos at:</t>
  </si>
  <si>
    <t>Buzzards Bay, Aug 8-11, 2006</t>
  </si>
  <si>
    <t>W4</t>
  </si>
  <si>
    <t>10-15</t>
  </si>
  <si>
    <t>2006 YRALIS Championship Regatta</t>
  </si>
  <si>
    <t>August 26-27, 2006</t>
  </si>
  <si>
    <t>starts needed to qualify</t>
  </si>
  <si>
    <t>Club</t>
  </si>
  <si>
    <t>Scarsdale, NY</t>
  </si>
  <si>
    <t>Vincent.Monte-Sano,Rob D.</t>
  </si>
  <si>
    <t>Larchmont, NY</t>
  </si>
  <si>
    <t>Mcguire,Skip</t>
  </si>
  <si>
    <t>Campbell,Douglas</t>
  </si>
  <si>
    <t>South Salem, NY</t>
  </si>
  <si>
    <t>Gollner,William</t>
  </si>
  <si>
    <t>Ivre</t>
  </si>
  <si>
    <t>John.McGrain,Hunt. Lawrence</t>
  </si>
  <si>
    <t>New York, NY</t>
  </si>
  <si>
    <t>Harrison, NY</t>
  </si>
  <si>
    <t>In Time</t>
  </si>
  <si>
    <t>Mawe,John</t>
  </si>
  <si>
    <t>Mamaroneck, NY</t>
  </si>
  <si>
    <t>Skimmer</t>
  </si>
  <si>
    <t>Veugeniy.Burmatou,Hunt.Lawrence</t>
  </si>
  <si>
    <t>Meyer,Neil</t>
  </si>
  <si>
    <t>7.8 ARB</t>
  </si>
  <si>
    <t>15 DNC</t>
  </si>
  <si>
    <t>15 DNF</t>
  </si>
  <si>
    <t>September 9-10, 2006</t>
  </si>
  <si>
    <t>23*</t>
  </si>
  <si>
    <t>**</t>
  </si>
  <si>
    <t>Borrowed Sails</t>
  </si>
  <si>
    <t>Hull #26 - Tango</t>
  </si>
  <si>
    <t>http://www.sailingworld.com/article.jsp?ID=44015&amp;typeID=403&amp;catID=604&amp;exclude=NOOD</t>
  </si>
  <si>
    <t>Participation Credits</t>
  </si>
  <si>
    <t>Crocker</t>
  </si>
  <si>
    <t>Schultz</t>
  </si>
  <si>
    <t>Sawyer</t>
  </si>
  <si>
    <t>campbell,douglas</t>
  </si>
  <si>
    <t>lyc</t>
  </si>
  <si>
    <t>7 DNC</t>
  </si>
  <si>
    <t>October 7-8, 2006</t>
  </si>
  <si>
    <t>Campbell, Douglas</t>
  </si>
  <si>
    <t>http://www.larchmontyc.org/racing/documents/ColumbusDayYRA_ColumbusDayResults.pdf</t>
  </si>
  <si>
    <t>20-30</t>
  </si>
  <si>
    <t>1-3</t>
  </si>
  <si>
    <t>As of Oct 10, 2006</t>
  </si>
  <si>
    <t>2006/2005</t>
  </si>
  <si>
    <t>As of Oct 11, 2006</t>
  </si>
  <si>
    <t>As of October 11, 2006</t>
  </si>
  <si>
    <t xml:space="preserve">New Owner </t>
  </si>
  <si>
    <t>Cox-Sprague Season Scores</t>
  </si>
  <si>
    <t>races needed to qualify</t>
  </si>
  <si>
    <t>Races needed to "qualify".</t>
  </si>
  <si>
    <t>HYC</t>
  </si>
  <si>
    <t>PJ O'Shea/ Patrick Leonard</t>
  </si>
  <si>
    <t>Greg Davis/Kevin Santee</t>
  </si>
  <si>
    <t>Patrick Leonard/PJ O'Shea</t>
  </si>
  <si>
    <t>Shields Fleet 1 2007 L.I.S. YRA Race Results</t>
  </si>
  <si>
    <t>kurt_weisenfluh@ml.com</t>
  </si>
  <si>
    <t>Polly Ann Trophy 2007</t>
  </si>
  <si>
    <t>Weisenfluh,K,CrockerC</t>
  </si>
  <si>
    <t>deVore,HL</t>
  </si>
  <si>
    <t>Davis.G,Santee.K</t>
  </si>
  <si>
    <t>Katz.M,Gollner.B</t>
  </si>
  <si>
    <t>Gallagher.T,Hynes.K</t>
  </si>
  <si>
    <t>Sanford.T,Orecchio.E</t>
  </si>
  <si>
    <t>Leonard,Patrick</t>
  </si>
  <si>
    <t>Albouy.P,Stone</t>
  </si>
  <si>
    <t>http://www.larchmontyc.org/racing/documents/MemDay07_OneDesign_Overall_001.pdf</t>
  </si>
  <si>
    <t>May 26-27, 2007</t>
  </si>
  <si>
    <t>Larchmont Yacht Club - Shields Fleet 1</t>
  </si>
  <si>
    <t>June 23-24, 2006</t>
  </si>
  <si>
    <t>Carr.White.Lorentzen</t>
  </si>
  <si>
    <t>Hynes.Kevin,Gallagher.Tom</t>
  </si>
  <si>
    <t>Golner,Bill</t>
  </si>
  <si>
    <t>Yocum,Ed</t>
  </si>
  <si>
    <t>2007 Shields District Championship Regatta - Western Long Island Sound District</t>
  </si>
  <si>
    <t>http://www.larchmontyc.org/racing/documents/ShieldsDistricts07Results_000.pdf</t>
  </si>
  <si>
    <t>Shields Fleet 1 2007 Spring Series Race Results</t>
  </si>
  <si>
    <t>#107</t>
  </si>
  <si>
    <t>Crew Race (Sep 22)</t>
  </si>
  <si>
    <r>
      <t>40%</t>
    </r>
    <r>
      <rPr>
        <sz val="8"/>
        <rFont val="Arial"/>
        <family val="2"/>
      </rPr>
      <t xml:space="preserve"> of starts on YRA schedule, not counting the races in the NOOD regatta</t>
    </r>
  </si>
  <si>
    <r>
      <t xml:space="preserve">The owner must start at least </t>
    </r>
    <r>
      <rPr>
        <b/>
        <sz val="8"/>
        <rFont val="Arial"/>
        <family val="2"/>
      </rPr>
      <t>50%</t>
    </r>
    <r>
      <rPr>
        <sz val="8"/>
        <rFont val="Arial"/>
        <family val="2"/>
      </rPr>
      <t xml:space="preserve"> ofthe races, but not less than 10, designated by each fleet from the Schedule.</t>
    </r>
  </si>
  <si>
    <t>' This program computes a score for a yacht participating in a series</t>
  </si>
  <si>
    <t>' of n_races with m_discards using the modified Cox-Sprague Scoring System.</t>
  </si>
  <si>
    <t>'</t>
  </si>
  <si>
    <t>'   C_S_G   Modified Cox-Sprague (Cox-Sprague-Gesing) system</t>
  </si>
  <si>
    <t>' Proprietary Notice:</t>
  </si>
  <si>
    <t>' This software was developed by Witold Gesing.</t>
  </si>
  <si>
    <t>' This software may be copied and re-distributed freely.</t>
  </si>
  <si>
    <t>' To protect the innocent, please clearly identify and document any changes,</t>
  </si>
  <si>
    <t>' improvements, modifications or additions.</t>
  </si>
  <si>
    <t>' Inputs: (To all programs)</t>
  </si>
  <si>
    <t>' results:      a vector of race results:</t>
  </si>
  <si>
    <t>'                   numbers are scored as finishing places in a race</t>
  </si>
  <si>
    <t>'                   entries starting with "d" of "D" are scored as DNF/DSQ</t>
  </si>
  <si>
    <t>'                   DNE or dne is scored as DSQ and is not excludable (discartable) (Rule 88.3(b))</t>
  </si>
  <si>
    <t>'                   blank or zero entries are scored as DNS</t>
  </si>
  <si>
    <t>'                   absolute value of negative entries is used as the score assigned under RDG or SCP (see below for definition of abbreviations)</t>
  </si>
  <si>
    <t>' n_starters:   a vector containing number of starters in each race</t>
  </si>
  <si>
    <t>' n_races:      number of races (defaults to Count(n_starters) )</t>
  </si>
  <si>
    <t>' m_discards:   number of discards (defaults to 0 ). The program discards the race result that results in the greatest improvement of the CS score.</t>
  </si>
  <si>
    <t>' CSG_Table:    Cox-Sprague-Gesing table (20x20 modified CS table)</t>
  </si>
  <si>
    <t>' Outputs:</t>
  </si>
  <si>
    <t>' Total score for a yacht participating in a series of n_races with m_discards:</t>
  </si>
  <si>
    <t>' C_S_G(results,n_starters,CSG_table,n_races,m_discards):   Modified Cox-Sprague score</t>
  </si>
  <si>
    <t>' G_C_S(results,n_starters,n_races,m_discards):             Gesing-Cox-Sprague score</t>
  </si>
  <si>
    <t>' Abbreviations: (Appendix A of the ISF Racing Rules of Sailing for 2001-2004)</t>
  </si>
  <si>
    <t>' The following are scored as number of starters + 1 using the next column of the C-S table:</t>
  </si>
  <si>
    <t>' DSQ   Disqualified</t>
  </si>
  <si>
    <t>' DNF   Did not finish</t>
  </si>
  <si>
    <t>' RAF   Retired after finishing</t>
  </si>
  <si>
    <t>' OCS   Did not start; on the course side of the starting line</t>
  </si>
  <si>
    <t>' BFD   Disqualification under rule 30.3 (Black Flag Rule)</t>
  </si>
  <si>
    <t>LARCHMONT YACHT CLUB</t>
  </si>
  <si>
    <t>Sat. Oct 6 &amp; Sun. Oct 7, 2007</t>
  </si>
  <si>
    <t>Marx,Chris</t>
  </si>
  <si>
    <t>5*</t>
  </si>
  <si>
    <t>Smalley,Dave</t>
  </si>
  <si>
    <t>3*</t>
  </si>
  <si>
    <t>Hertz, Ralph</t>
  </si>
  <si>
    <t>Duncan,Peter</t>
  </si>
  <si>
    <t>6*DNC</t>
  </si>
  <si>
    <t>6 DNC</t>
  </si>
  <si>
    <t>US54</t>
  </si>
  <si>
    <t>Smith,Dan</t>
  </si>
  <si>
    <t>Internationals</t>
  </si>
  <si>
    <t>Maneker,Marion</t>
  </si>
  <si>
    <t>2*</t>
  </si>
  <si>
    <t>Miller,Jennifer</t>
  </si>
  <si>
    <t>4*DNF</t>
  </si>
  <si>
    <t>Bruggemann,Jorg</t>
  </si>
  <si>
    <t>Kurt.Weisenfluh,Com C.</t>
  </si>
  <si>
    <t>4*</t>
  </si>
  <si>
    <t>O'Brien,Thomas K.</t>
  </si>
  <si>
    <t>Takata,Gregg</t>
  </si>
  <si>
    <t>8*</t>
  </si>
  <si>
    <t>Shulz,Roland</t>
  </si>
  <si>
    <t>9*DNC</t>
  </si>
  <si>
    <t>9 DNC</t>
  </si>
  <si>
    <t>Stars</t>
  </si>
  <si>
    <t>Proctor,Ched</t>
  </si>
  <si>
    <t>Manderson,John</t>
  </si>
  <si>
    <t>de la Villehuchet,Thierry</t>
  </si>
  <si>
    <t>Hovey,Bear</t>
  </si>
  <si>
    <t>Ronan,Dan</t>
  </si>
  <si>
    <t>Simmons,Bill</t>
  </si>
  <si>
    <t>Park,Sean</t>
  </si>
  <si>
    <t>S-10</t>
  </si>
  <si>
    <t>Hanson,George</t>
  </si>
  <si>
    <t>4*DNC</t>
  </si>
  <si>
    <t>4 DNC</t>
  </si>
  <si>
    <t>As of Oct, 11, 2007</t>
  </si>
  <si>
    <t>' DNE   Disqualification not excludable under rule 88.3(b)</t>
  </si>
  <si>
    <t>' The following are not counted under the C-S system:</t>
  </si>
  <si>
    <t>' DNC   Did not compete; did not come to the starting area</t>
  </si>
  <si>
    <t>' DNS   Did not start; (other than DNC and OCS)</t>
  </si>
  <si>
    <t>' The following are not implemented:</t>
  </si>
  <si>
    <t>' SCP   Took a scoring penalty under rule 44.3 (not implemented)</t>
  </si>
  <si>
    <t>' RDG   Redress given</t>
  </si>
  <si>
    <t>' ZFP   20% penalty under rule 30.2 (not implemented)</t>
  </si>
  <si>
    <t>' TLE   Time limit expired (For TLE enter the finishing position as prescribed</t>
  </si>
  <si>
    <t>'       by the race instructions. YRALIS 2005 race instructions prescribe that</t>
  </si>
  <si>
    <t>'       TLE is scored by adding 50% of the difference between the number of</t>
  </si>
  <si>
    <t>'       finishers and starters, truncated if a fraction, to the number of finishers.)</t>
  </si>
  <si>
    <t>'Explanation of modifications to the LISYRA Cox-Sprague scoring system:</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</si>
</sst>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
    <numFmt numFmtId="169" formatCode="_(* #,##0.0_);_(* \(#,##0.0\);_(* &quot;-&quot;??_);_(@_)"/>
    <numFmt numFmtId="170" formatCode="_(* #,##0_);_(* \(#,##0\);_(* &quot;-&quot;??_);_(@_)"/>
    <numFmt numFmtId="171" formatCode="_(* #,##0.000_);_(* \(#,##0.00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m/d"/>
    <numFmt numFmtId="179" formatCode="000"/>
    <numFmt numFmtId="180" formatCode="_(* #,##0.0_);_(* \(#,##0.0\);_(* &quot;-&quot;?_);_(@_)"/>
    <numFmt numFmtId="181" formatCode="0_);\(0\)"/>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2]\ #,##0.00_);[Red]\([$€-2]\ #,##0.00\)"/>
    <numFmt numFmtId="190" formatCode="_(* #,##0.0000_);_(* \(#,##0.0000\);_(* &quot;-&quot;????_);_(@_)"/>
    <numFmt numFmtId="191" formatCode="[$-409]dddd\,\ mmmm\ dd\,\ yyyy"/>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d\-mmm\-yyyy"/>
    <numFmt numFmtId="200" formatCode="mmm\-yyyy"/>
  </numFmts>
  <fonts count="56">
    <font>
      <sz val="10"/>
      <name val="Arial"/>
      <family val="0"/>
    </font>
    <font>
      <b/>
      <sz val="10"/>
      <name val="Arial"/>
      <family val="2"/>
    </font>
    <font>
      <b/>
      <sz val="12"/>
      <name val="Arial"/>
      <family val="2"/>
    </font>
    <font>
      <sz val="10"/>
      <color indexed="12"/>
      <name val="Arial"/>
      <family val="2"/>
    </font>
    <font>
      <u val="single"/>
      <sz val="10"/>
      <color indexed="12"/>
      <name val="Arial"/>
      <family val="0"/>
    </font>
    <font>
      <u val="single"/>
      <sz val="10"/>
      <color indexed="36"/>
      <name val="Arial"/>
      <family val="0"/>
    </font>
    <font>
      <sz val="8"/>
      <name val="Arial"/>
      <family val="0"/>
    </font>
    <font>
      <b/>
      <sz val="8"/>
      <name val="Arial"/>
      <family val="0"/>
    </font>
    <font>
      <sz val="8"/>
      <color indexed="12"/>
      <name val="Arial"/>
      <family val="0"/>
    </font>
    <font>
      <u val="single"/>
      <sz val="8"/>
      <color indexed="12"/>
      <name val="Arial"/>
      <family val="0"/>
    </font>
    <font>
      <sz val="12"/>
      <name val="Arial"/>
      <family val="2"/>
    </font>
    <font>
      <b/>
      <sz val="8"/>
      <color indexed="63"/>
      <name val="Verdana"/>
      <family val="2"/>
    </font>
    <font>
      <b/>
      <sz val="14"/>
      <name val="Arial"/>
      <family val="2"/>
    </font>
    <font>
      <sz val="8"/>
      <color indexed="9"/>
      <name val="Arial"/>
      <family val="0"/>
    </font>
    <font>
      <b/>
      <u val="single"/>
      <sz val="10"/>
      <color indexed="18"/>
      <name val="Arial"/>
      <family val="0"/>
    </font>
    <font>
      <b/>
      <u val="single"/>
      <sz val="10"/>
      <name val="Arial"/>
      <family val="0"/>
    </font>
    <font>
      <sz val="10"/>
      <color indexed="9"/>
      <name val="Arial"/>
      <family val="0"/>
    </font>
    <font>
      <sz val="8"/>
      <name val="Times New Roman"/>
      <family val="1"/>
    </font>
    <font>
      <sz val="14"/>
      <name val="Arial"/>
      <family val="2"/>
    </font>
    <font>
      <sz val="8"/>
      <color indexed="63"/>
      <name val="Verdana"/>
      <family val="2"/>
    </font>
    <font>
      <sz val="8"/>
      <color indexed="63"/>
      <name val="Arial"/>
      <family val="2"/>
    </font>
    <font>
      <b/>
      <sz val="8"/>
      <color indexed="63"/>
      <name val="Arial"/>
      <family val="2"/>
    </font>
    <font>
      <i/>
      <sz val="10"/>
      <name val="Arial"/>
      <family val="0"/>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thick"/>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99">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0" fillId="33" borderId="0" xfId="0" applyFill="1" applyAlignment="1">
      <alignment/>
    </xf>
    <xf numFmtId="0" fontId="2" fillId="33" borderId="0" xfId="0" applyFont="1" applyFill="1" applyAlignment="1">
      <alignment/>
    </xf>
    <xf numFmtId="16" fontId="0" fillId="34" borderId="12" xfId="0" applyNumberFormat="1" applyFont="1" applyFill="1" applyBorder="1" applyAlignment="1">
      <alignment textRotation="90"/>
    </xf>
    <xf numFmtId="16" fontId="0" fillId="34" borderId="13" xfId="0" applyNumberFormat="1" applyFont="1" applyFill="1" applyBorder="1" applyAlignment="1">
      <alignment textRotation="90"/>
    </xf>
    <xf numFmtId="0" fontId="1" fillId="33" borderId="0" xfId="0" applyFont="1" applyFill="1" applyAlignment="1">
      <alignment/>
    </xf>
    <xf numFmtId="16" fontId="0" fillId="34" borderId="14" xfId="0" applyNumberFormat="1" applyFont="1" applyFill="1" applyBorder="1" applyAlignment="1">
      <alignment textRotation="90"/>
    </xf>
    <xf numFmtId="0" fontId="0" fillId="0" borderId="12" xfId="0" applyFont="1" applyBorder="1" applyAlignment="1">
      <alignment horizontal="center"/>
    </xf>
    <xf numFmtId="0" fontId="0" fillId="0" borderId="15" xfId="0" applyFont="1" applyBorder="1" applyAlignment="1">
      <alignment horizontal="center"/>
    </xf>
    <xf numFmtId="0" fontId="0" fillId="33" borderId="0" xfId="0" applyFill="1" applyAlignment="1">
      <alignment horizont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2" fillId="33" borderId="0" xfId="0" applyFont="1" applyFill="1" applyBorder="1" applyAlignment="1">
      <alignment horizontal="left"/>
    </xf>
    <xf numFmtId="0" fontId="0" fillId="33" borderId="0" xfId="0" applyFill="1" applyAlignment="1">
      <alignment horizontal="left"/>
    </xf>
    <xf numFmtId="0" fontId="7" fillId="33" borderId="0" xfId="0" applyFont="1" applyFill="1" applyBorder="1" applyAlignment="1">
      <alignment/>
    </xf>
    <xf numFmtId="0" fontId="6" fillId="33" borderId="0" xfId="0" applyFont="1" applyFill="1" applyAlignment="1">
      <alignment horizontal="center"/>
    </xf>
    <xf numFmtId="170" fontId="6" fillId="33" borderId="0" xfId="42" applyNumberFormat="1" applyFont="1" applyFill="1" applyAlignment="1">
      <alignment horizontal="center"/>
    </xf>
    <xf numFmtId="170" fontId="6" fillId="33" borderId="0" xfId="42" applyNumberFormat="1" applyFont="1" applyFill="1" applyAlignment="1">
      <alignment/>
    </xf>
    <xf numFmtId="0" fontId="6" fillId="33" borderId="0" xfId="0" applyFont="1" applyFill="1" applyAlignment="1">
      <alignment/>
    </xf>
    <xf numFmtId="0" fontId="6" fillId="33" borderId="25" xfId="0" applyFont="1" applyFill="1" applyBorder="1" applyAlignment="1">
      <alignment/>
    </xf>
    <xf numFmtId="0" fontId="6" fillId="33" borderId="26" xfId="0" applyFont="1" applyFill="1" applyBorder="1" applyAlignment="1">
      <alignment/>
    </xf>
    <xf numFmtId="0" fontId="6" fillId="33" borderId="27" xfId="0" applyFont="1" applyFill="1" applyBorder="1" applyAlignment="1">
      <alignment/>
    </xf>
    <xf numFmtId="0" fontId="6" fillId="0" borderId="28" xfId="0" applyFont="1" applyBorder="1" applyAlignment="1">
      <alignment/>
    </xf>
    <xf numFmtId="0" fontId="8" fillId="33" borderId="28" xfId="0" applyFont="1" applyFill="1" applyBorder="1" applyAlignment="1" applyProtection="1">
      <alignment horizontal="center"/>
      <protection locked="0"/>
    </xf>
    <xf numFmtId="173" fontId="6" fillId="33" borderId="28" xfId="42" applyNumberFormat="1" applyFont="1" applyFill="1" applyBorder="1" applyAlignment="1" quotePrefix="1">
      <alignment/>
    </xf>
    <xf numFmtId="0" fontId="8" fillId="33" borderId="29" xfId="0" applyFont="1" applyFill="1" applyBorder="1" applyAlignment="1" applyProtection="1">
      <alignment horizontal="center"/>
      <protection locked="0"/>
    </xf>
    <xf numFmtId="173" fontId="6" fillId="33" borderId="29" xfId="42" applyNumberFormat="1" applyFont="1" applyFill="1" applyBorder="1" applyAlignment="1" quotePrefix="1">
      <alignment/>
    </xf>
    <xf numFmtId="16" fontId="6" fillId="33" borderId="30" xfId="0" applyNumberFormat="1" applyFont="1" applyFill="1" applyBorder="1" applyAlignment="1">
      <alignment textRotation="90"/>
    </xf>
    <xf numFmtId="0" fontId="6" fillId="33" borderId="31" xfId="0" applyFont="1" applyFill="1" applyBorder="1" applyAlignment="1">
      <alignment/>
    </xf>
    <xf numFmtId="0" fontId="6" fillId="33" borderId="31" xfId="0" applyFont="1" applyFill="1" applyBorder="1" applyAlignment="1">
      <alignment horizontal="center"/>
    </xf>
    <xf numFmtId="0" fontId="6" fillId="33" borderId="28" xfId="0" applyFont="1" applyFill="1" applyBorder="1" applyAlignment="1">
      <alignment/>
    </xf>
    <xf numFmtId="0" fontId="6" fillId="33" borderId="28" xfId="0" applyFont="1" applyFill="1" applyBorder="1" applyAlignment="1">
      <alignment horizontal="center"/>
    </xf>
    <xf numFmtId="0" fontId="6" fillId="33" borderId="30" xfId="0" applyFont="1" applyFill="1" applyBorder="1" applyAlignment="1">
      <alignment horizontal="center"/>
    </xf>
    <xf numFmtId="179" fontId="6" fillId="33" borderId="30" xfId="0" applyNumberFormat="1" applyFont="1" applyFill="1" applyBorder="1" applyAlignment="1">
      <alignment horizontal="center"/>
    </xf>
    <xf numFmtId="0" fontId="6" fillId="33" borderId="30" xfId="0" applyFont="1" applyFill="1" applyBorder="1" applyAlignment="1" quotePrefix="1">
      <alignment horizontal="center"/>
    </xf>
    <xf numFmtId="16" fontId="6" fillId="33" borderId="30" xfId="0" applyNumberFormat="1" applyFont="1" applyFill="1" applyBorder="1" applyAlignment="1" quotePrefix="1">
      <alignment horizontal="center"/>
    </xf>
    <xf numFmtId="0" fontId="4" fillId="33" borderId="0" xfId="53" applyFill="1" applyAlignment="1" applyProtection="1">
      <alignment horizontal="left"/>
      <protection/>
    </xf>
    <xf numFmtId="0" fontId="0" fillId="33" borderId="0" xfId="0" applyFill="1" applyAlignment="1">
      <alignment horizontal="left" wrapText="1"/>
    </xf>
    <xf numFmtId="0" fontId="7" fillId="33" borderId="0" xfId="0" applyFont="1" applyFill="1" applyBorder="1" applyAlignment="1">
      <alignment horizontal="center"/>
    </xf>
    <xf numFmtId="0" fontId="8" fillId="33" borderId="31" xfId="0" applyFont="1" applyFill="1" applyBorder="1" applyAlignment="1" applyProtection="1">
      <alignment horizontal="center"/>
      <protection locked="0"/>
    </xf>
    <xf numFmtId="0" fontId="6" fillId="33" borderId="32" xfId="0" applyFont="1" applyFill="1" applyBorder="1" applyAlignment="1">
      <alignment/>
    </xf>
    <xf numFmtId="0" fontId="6" fillId="33" borderId="29" xfId="0" applyFont="1" applyFill="1" applyBorder="1" applyAlignment="1">
      <alignment horizontal="center"/>
    </xf>
    <xf numFmtId="0" fontId="6" fillId="33" borderId="26" xfId="0" applyFont="1" applyFill="1" applyBorder="1" applyAlignment="1">
      <alignment/>
    </xf>
    <xf numFmtId="0" fontId="6" fillId="33" borderId="25" xfId="0" applyFont="1" applyFill="1" applyBorder="1" applyAlignment="1">
      <alignment/>
    </xf>
    <xf numFmtId="0" fontId="6" fillId="33" borderId="25" xfId="0" applyFont="1" applyFill="1" applyBorder="1" applyAlignment="1">
      <alignment horizontal="center"/>
    </xf>
    <xf numFmtId="0" fontId="6" fillId="33" borderId="0" xfId="0" applyFont="1" applyFill="1" applyAlignment="1">
      <alignment horizontal="left"/>
    </xf>
    <xf numFmtId="0" fontId="9" fillId="33" borderId="0" xfId="53" applyFont="1" applyFill="1" applyAlignment="1" applyProtection="1">
      <alignment horizontal="left"/>
      <protection/>
    </xf>
    <xf numFmtId="0" fontId="6" fillId="33" borderId="33" xfId="0" applyFont="1" applyFill="1" applyBorder="1" applyAlignment="1">
      <alignment horizontal="center"/>
    </xf>
    <xf numFmtId="0" fontId="6" fillId="33" borderId="34" xfId="0" applyFont="1" applyFill="1" applyBorder="1" applyAlignment="1">
      <alignment horizontal="center"/>
    </xf>
    <xf numFmtId="0" fontId="6" fillId="33" borderId="35" xfId="0" applyFont="1" applyFill="1" applyBorder="1" applyAlignment="1">
      <alignment horizontal="center"/>
    </xf>
    <xf numFmtId="0" fontId="6" fillId="33" borderId="36" xfId="0" applyFont="1" applyFill="1" applyBorder="1" applyAlignment="1">
      <alignment horizontal="center"/>
    </xf>
    <xf numFmtId="0" fontId="6" fillId="33" borderId="29" xfId="0" applyFont="1" applyFill="1" applyBorder="1" applyAlignment="1">
      <alignment/>
    </xf>
    <xf numFmtId="173" fontId="6" fillId="33" borderId="31" xfId="42" applyNumberFormat="1" applyFont="1" applyFill="1" applyBorder="1" applyAlignment="1" quotePrefix="1">
      <alignment/>
    </xf>
    <xf numFmtId="0" fontId="6" fillId="33" borderId="27" xfId="0" applyFont="1" applyFill="1" applyBorder="1" applyAlignment="1">
      <alignment horizontal="center"/>
    </xf>
    <xf numFmtId="0" fontId="6" fillId="33" borderId="35" xfId="0" applyFont="1" applyFill="1" applyBorder="1" applyAlignment="1">
      <alignment/>
    </xf>
    <xf numFmtId="0" fontId="6" fillId="33" borderId="36" xfId="0" applyFont="1" applyFill="1" applyBorder="1" applyAlignment="1">
      <alignment/>
    </xf>
    <xf numFmtId="16" fontId="6" fillId="33" borderId="25" xfId="0" applyNumberFormat="1" applyFont="1" applyFill="1" applyBorder="1" applyAlignment="1">
      <alignment horizontal="center"/>
    </xf>
    <xf numFmtId="0" fontId="6" fillId="33" borderId="0" xfId="0" applyFont="1" applyFill="1" applyBorder="1" applyAlignment="1">
      <alignment horizontal="center"/>
    </xf>
    <xf numFmtId="16" fontId="6" fillId="33" borderId="26" xfId="0" applyNumberFormat="1" applyFont="1" applyFill="1" applyBorder="1" applyAlignment="1">
      <alignment horizontal="center"/>
    </xf>
    <xf numFmtId="165" fontId="6" fillId="33" borderId="0" xfId="42" applyNumberFormat="1" applyFont="1" applyFill="1" applyBorder="1" applyAlignment="1" quotePrefix="1">
      <alignment horizontal="center"/>
    </xf>
    <xf numFmtId="0" fontId="8" fillId="33" borderId="0" xfId="0" applyFont="1" applyFill="1" applyBorder="1" applyAlignment="1" applyProtection="1">
      <alignment horizontal="center"/>
      <protection locked="0"/>
    </xf>
    <xf numFmtId="0" fontId="1" fillId="33" borderId="0" xfId="0" applyFont="1" applyFill="1" applyAlignment="1">
      <alignment horizontal="left"/>
    </xf>
    <xf numFmtId="0" fontId="2" fillId="33" borderId="0" xfId="0" applyFont="1" applyFill="1" applyBorder="1" applyAlignment="1">
      <alignment/>
    </xf>
    <xf numFmtId="0" fontId="7" fillId="33" borderId="0" xfId="0" applyFont="1" applyFill="1" applyAlignment="1">
      <alignment/>
    </xf>
    <xf numFmtId="0" fontId="6" fillId="33" borderId="28" xfId="0" applyFont="1" applyFill="1" applyBorder="1" applyAlignment="1">
      <alignment horizontal="left"/>
    </xf>
    <xf numFmtId="0" fontId="6" fillId="33" borderId="29" xfId="0" applyFont="1" applyFill="1" applyBorder="1" applyAlignment="1">
      <alignment horizontal="left"/>
    </xf>
    <xf numFmtId="0" fontId="4" fillId="33" borderId="0" xfId="53" applyFill="1" applyAlignment="1" applyProtection="1">
      <alignment/>
      <protection/>
    </xf>
    <xf numFmtId="0" fontId="6" fillId="33" borderId="0" xfId="0" applyFont="1" applyFill="1" applyAlignment="1">
      <alignment/>
    </xf>
    <xf numFmtId="0" fontId="6" fillId="33" borderId="0" xfId="0" applyNumberFormat="1" applyFont="1" applyFill="1" applyAlignment="1">
      <alignment horizontal="center"/>
    </xf>
    <xf numFmtId="0" fontId="6" fillId="33" borderId="0" xfId="0" applyNumberFormat="1" applyFont="1" applyFill="1" applyAlignment="1">
      <alignment/>
    </xf>
    <xf numFmtId="0" fontId="6" fillId="33" borderId="0" xfId="0" applyFont="1" applyFill="1" applyAlignment="1">
      <alignment horizontal="left"/>
    </xf>
    <xf numFmtId="0" fontId="6" fillId="33" borderId="33" xfId="0" applyFont="1" applyFill="1" applyBorder="1" applyAlignment="1">
      <alignment horizontal="center"/>
    </xf>
    <xf numFmtId="0" fontId="6" fillId="33" borderId="28" xfId="0" applyFont="1" applyFill="1" applyBorder="1" applyAlignment="1">
      <alignment horizontal="center"/>
    </xf>
    <xf numFmtId="0" fontId="6" fillId="33" borderId="34" xfId="0" applyFont="1" applyFill="1" applyBorder="1" applyAlignment="1">
      <alignment horizontal="center"/>
    </xf>
    <xf numFmtId="0" fontId="6" fillId="33" borderId="29" xfId="0" applyFont="1" applyFill="1" applyBorder="1" applyAlignment="1">
      <alignment horizontal="center"/>
    </xf>
    <xf numFmtId="0" fontId="6" fillId="33" borderId="30" xfId="0" applyFont="1" applyFill="1" applyBorder="1" applyAlignment="1">
      <alignment horizontal="center"/>
    </xf>
    <xf numFmtId="0" fontId="6" fillId="33" borderId="30" xfId="0" applyFont="1" applyFill="1" applyBorder="1" applyAlignment="1">
      <alignment horizontal="center" wrapText="1"/>
    </xf>
    <xf numFmtId="170" fontId="6" fillId="33" borderId="30" xfId="42" applyNumberFormat="1" applyFont="1" applyFill="1" applyBorder="1" applyAlignment="1">
      <alignment horizontal="center" wrapText="1"/>
    </xf>
    <xf numFmtId="16" fontId="6" fillId="33" borderId="30" xfId="0" applyNumberFormat="1" applyFont="1" applyFill="1" applyBorder="1" applyAlignment="1">
      <alignment horizontal="center"/>
    </xf>
    <xf numFmtId="166" fontId="6" fillId="33" borderId="28" xfId="42" applyNumberFormat="1" applyFont="1" applyFill="1" applyBorder="1" applyAlignment="1" quotePrefix="1">
      <alignment horizontal="center"/>
    </xf>
    <xf numFmtId="0" fontId="8" fillId="33" borderId="28" xfId="0" applyFont="1" applyFill="1" applyBorder="1" applyAlignment="1" applyProtection="1">
      <alignment horizontal="center"/>
      <protection locked="0"/>
    </xf>
    <xf numFmtId="0" fontId="6" fillId="33" borderId="31" xfId="0" applyFont="1" applyFill="1" applyBorder="1" applyAlignment="1">
      <alignment horizontal="right"/>
    </xf>
    <xf numFmtId="0" fontId="6" fillId="33" borderId="31" xfId="0" applyFont="1" applyFill="1" applyBorder="1" applyAlignment="1">
      <alignment horizontal="center"/>
    </xf>
    <xf numFmtId="170" fontId="6" fillId="33" borderId="31" xfId="42" applyNumberFormat="1" applyFont="1" applyFill="1" applyBorder="1" applyAlignment="1">
      <alignment horizontal="right"/>
    </xf>
    <xf numFmtId="0" fontId="6" fillId="33" borderId="28" xfId="0" applyFont="1" applyFill="1" applyBorder="1" applyAlignment="1">
      <alignment/>
    </xf>
    <xf numFmtId="0" fontId="6" fillId="33" borderId="29" xfId="0" applyFont="1" applyFill="1" applyBorder="1" applyAlignment="1">
      <alignment/>
    </xf>
    <xf numFmtId="166" fontId="6" fillId="33" borderId="29" xfId="42" applyNumberFormat="1" applyFont="1" applyFill="1" applyBorder="1" applyAlignment="1" quotePrefix="1">
      <alignment horizontal="center"/>
    </xf>
    <xf numFmtId="0" fontId="8" fillId="33" borderId="29" xfId="0" applyFont="1" applyFill="1" applyBorder="1" applyAlignment="1" applyProtection="1">
      <alignment horizontal="center"/>
      <protection locked="0"/>
    </xf>
    <xf numFmtId="15" fontId="6" fillId="33" borderId="0" xfId="0" applyNumberFormat="1" applyFont="1" applyFill="1" applyAlignment="1">
      <alignment horizontal="left"/>
    </xf>
    <xf numFmtId="0" fontId="6" fillId="33" borderId="31" xfId="0" applyFont="1" applyFill="1" applyBorder="1" applyAlignment="1">
      <alignment horizontal="left"/>
    </xf>
    <xf numFmtId="0" fontId="7" fillId="33" borderId="0" xfId="0" applyFont="1" applyFill="1" applyAlignment="1">
      <alignment horizontal="center"/>
    </xf>
    <xf numFmtId="0" fontId="6" fillId="33" borderId="37" xfId="0" applyFont="1" applyFill="1" applyBorder="1" applyAlignment="1">
      <alignment horizontal="center"/>
    </xf>
    <xf numFmtId="0" fontId="6" fillId="33" borderId="0" xfId="0" applyFont="1" applyFill="1" applyBorder="1" applyAlignment="1">
      <alignment horizontal="left"/>
    </xf>
    <xf numFmtId="0" fontId="7" fillId="33" borderId="28" xfId="0" applyFont="1" applyFill="1" applyBorder="1" applyAlignment="1">
      <alignment horizontal="left"/>
    </xf>
    <xf numFmtId="0" fontId="7" fillId="33" borderId="29" xfId="0" applyFont="1" applyFill="1" applyBorder="1" applyAlignment="1">
      <alignment horizontal="left"/>
    </xf>
    <xf numFmtId="0" fontId="6" fillId="33" borderId="30" xfId="0" applyFont="1" applyFill="1" applyBorder="1" applyAlignment="1">
      <alignment/>
    </xf>
    <xf numFmtId="0" fontId="6" fillId="33" borderId="37" xfId="0" applyFont="1" applyFill="1" applyBorder="1" applyAlignment="1">
      <alignment horizontal="center"/>
    </xf>
    <xf numFmtId="0" fontId="6" fillId="33" borderId="38" xfId="0" applyFont="1" applyFill="1" applyBorder="1" applyAlignment="1">
      <alignment horizontal="center"/>
    </xf>
    <xf numFmtId="173" fontId="6" fillId="33" borderId="28" xfId="42" applyNumberFormat="1" applyFont="1" applyFill="1" applyBorder="1" applyAlignment="1" quotePrefix="1">
      <alignment horizontal="center"/>
    </xf>
    <xf numFmtId="173" fontId="6" fillId="33" borderId="29" xfId="42" applyNumberFormat="1" applyFont="1" applyFill="1" applyBorder="1" applyAlignment="1" quotePrefix="1">
      <alignment horizontal="center"/>
    </xf>
    <xf numFmtId="168" fontId="6" fillId="33" borderId="28" xfId="59" applyNumberFormat="1" applyFont="1" applyFill="1" applyBorder="1" applyAlignment="1" quotePrefix="1">
      <alignment horizontal="center"/>
    </xf>
    <xf numFmtId="168" fontId="6" fillId="33" borderId="29" xfId="59" applyNumberFormat="1" applyFont="1" applyFill="1" applyBorder="1" applyAlignment="1" quotePrefix="1">
      <alignment horizontal="center"/>
    </xf>
    <xf numFmtId="1" fontId="6" fillId="33" borderId="30" xfId="0" applyNumberFormat="1" applyFont="1" applyFill="1" applyBorder="1" applyAlignment="1" quotePrefix="1">
      <alignment horizontal="center"/>
    </xf>
    <xf numFmtId="179" fontId="6" fillId="33" borderId="27" xfId="0" applyNumberFormat="1" applyFont="1" applyFill="1" applyBorder="1" applyAlignment="1">
      <alignment horizontal="center"/>
    </xf>
    <xf numFmtId="16" fontId="6" fillId="33" borderId="29" xfId="0" applyNumberFormat="1" applyFont="1" applyFill="1" applyBorder="1" applyAlignment="1">
      <alignment textRotation="90"/>
    </xf>
    <xf numFmtId="170" fontId="6" fillId="33" borderId="29" xfId="42" applyNumberFormat="1" applyFont="1" applyFill="1" applyBorder="1" applyAlignment="1">
      <alignment horizontal="center" wrapText="1"/>
    </xf>
    <xf numFmtId="170" fontId="6" fillId="33" borderId="37" xfId="42" applyNumberFormat="1" applyFont="1" applyFill="1" applyBorder="1" applyAlignment="1">
      <alignment horizontal="center"/>
    </xf>
    <xf numFmtId="170" fontId="6" fillId="33" borderId="38" xfId="42" applyNumberFormat="1" applyFont="1" applyFill="1" applyBorder="1" applyAlignment="1">
      <alignment horizontal="right"/>
    </xf>
    <xf numFmtId="170" fontId="6" fillId="33" borderId="33" xfId="42" applyNumberFormat="1" applyFont="1" applyFill="1" applyBorder="1" applyAlignment="1">
      <alignment horizontal="center"/>
    </xf>
    <xf numFmtId="170" fontId="6" fillId="33" borderId="35" xfId="42" applyNumberFormat="1" applyFont="1" applyFill="1" applyBorder="1" applyAlignment="1">
      <alignment horizontal="right"/>
    </xf>
    <xf numFmtId="170" fontId="6" fillId="33" borderId="34" xfId="42" applyNumberFormat="1" applyFont="1" applyFill="1" applyBorder="1" applyAlignment="1">
      <alignment horizontal="center"/>
    </xf>
    <xf numFmtId="170" fontId="6" fillId="33" borderId="36" xfId="42" applyNumberFormat="1" applyFont="1" applyFill="1" applyBorder="1" applyAlignment="1">
      <alignment horizontal="right"/>
    </xf>
    <xf numFmtId="0" fontId="8" fillId="33" borderId="38" xfId="0" applyFont="1" applyFill="1" applyBorder="1" applyAlignment="1" applyProtection="1">
      <alignment horizontal="center"/>
      <protection locked="0"/>
    </xf>
    <xf numFmtId="0" fontId="8" fillId="33" borderId="35" xfId="0" applyFont="1" applyFill="1" applyBorder="1" applyAlignment="1" applyProtection="1">
      <alignment horizontal="center"/>
      <protection locked="0"/>
    </xf>
    <xf numFmtId="0" fontId="8" fillId="33" borderId="36" xfId="0" applyFont="1" applyFill="1" applyBorder="1" applyAlignment="1" applyProtection="1">
      <alignment horizontal="center"/>
      <protection locked="0"/>
    </xf>
    <xf numFmtId="0" fontId="6" fillId="33" borderId="31" xfId="0" applyFont="1" applyFill="1" applyBorder="1" applyAlignment="1">
      <alignment horizontal="center" wrapText="1"/>
    </xf>
    <xf numFmtId="0" fontId="6" fillId="33" borderId="27" xfId="0" applyFont="1" applyFill="1" applyBorder="1" applyAlignment="1">
      <alignment/>
    </xf>
    <xf numFmtId="0" fontId="6" fillId="33" borderId="38" xfId="0" applyFont="1" applyFill="1" applyBorder="1" applyAlignment="1">
      <alignment/>
    </xf>
    <xf numFmtId="0" fontId="6" fillId="33" borderId="35" xfId="0" applyFont="1" applyFill="1" applyBorder="1" applyAlignment="1">
      <alignment horizontal="right"/>
    </xf>
    <xf numFmtId="0" fontId="6" fillId="33" borderId="0" xfId="0" applyFont="1" applyFill="1" applyAlignment="1">
      <alignment horizontal="center"/>
    </xf>
    <xf numFmtId="0" fontId="6" fillId="33" borderId="30"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31" xfId="0" applyFont="1" applyFill="1" applyBorder="1" applyAlignment="1">
      <alignment/>
    </xf>
    <xf numFmtId="0" fontId="6" fillId="33" borderId="35" xfId="0" applyNumberFormat="1" applyFont="1" applyFill="1" applyBorder="1" applyAlignment="1">
      <alignment horizontal="center"/>
    </xf>
    <xf numFmtId="0" fontId="6" fillId="33" borderId="28" xfId="0" applyNumberFormat="1" applyFont="1" applyFill="1" applyBorder="1" applyAlignment="1">
      <alignment horizontal="center"/>
    </xf>
    <xf numFmtId="0" fontId="6" fillId="33" borderId="36" xfId="0" applyNumberFormat="1" applyFont="1" applyFill="1" applyBorder="1" applyAlignment="1">
      <alignment horizontal="center"/>
    </xf>
    <xf numFmtId="0" fontId="6" fillId="33" borderId="29" xfId="0" applyNumberFormat="1" applyFont="1" applyFill="1" applyBorder="1" applyAlignment="1">
      <alignment horizontal="center"/>
    </xf>
    <xf numFmtId="0" fontId="7" fillId="33" borderId="0" xfId="0" applyFont="1" applyFill="1" applyAlignment="1">
      <alignment/>
    </xf>
    <xf numFmtId="0" fontId="6" fillId="33" borderId="0" xfId="0" applyFont="1" applyFill="1" applyAlignment="1">
      <alignment horizontal="left" wrapText="1"/>
    </xf>
    <xf numFmtId="0" fontId="6" fillId="33" borderId="0" xfId="0" applyFont="1" applyFill="1" applyAlignment="1">
      <alignment vertical="top"/>
    </xf>
    <xf numFmtId="0" fontId="7" fillId="33" borderId="25" xfId="0" applyFont="1" applyFill="1" applyBorder="1" applyAlignment="1">
      <alignment/>
    </xf>
    <xf numFmtId="0" fontId="10" fillId="33" borderId="0" xfId="0" applyFont="1" applyFill="1" applyAlignment="1">
      <alignment horizontal="center"/>
    </xf>
    <xf numFmtId="0" fontId="10" fillId="33" borderId="0" xfId="0" applyFont="1" applyFill="1" applyAlignment="1">
      <alignment/>
    </xf>
    <xf numFmtId="0" fontId="2" fillId="33" borderId="0" xfId="0" applyFont="1" applyFill="1" applyAlignment="1">
      <alignment horizontal="left"/>
    </xf>
    <xf numFmtId="0" fontId="0" fillId="33" borderId="0" xfId="0" applyFont="1" applyFill="1" applyAlignment="1">
      <alignment horizontal="center"/>
    </xf>
    <xf numFmtId="0" fontId="0" fillId="33" borderId="0" xfId="0" applyFont="1" applyFill="1" applyAlignment="1">
      <alignment/>
    </xf>
    <xf numFmtId="0" fontId="0" fillId="33" borderId="0" xfId="0" applyFont="1" applyFill="1" applyAlignment="1">
      <alignment horizontal="left"/>
    </xf>
    <xf numFmtId="173" fontId="6" fillId="33" borderId="37" xfId="42" applyNumberFormat="1" applyFont="1" applyFill="1" applyBorder="1" applyAlignment="1" quotePrefix="1">
      <alignment/>
    </xf>
    <xf numFmtId="173" fontId="6" fillId="33" borderId="33" xfId="42" applyNumberFormat="1" applyFont="1" applyFill="1" applyBorder="1" applyAlignment="1" quotePrefix="1">
      <alignment/>
    </xf>
    <xf numFmtId="173" fontId="6" fillId="33" borderId="34" xfId="42" applyNumberFormat="1" applyFont="1" applyFill="1" applyBorder="1" applyAlignment="1" quotePrefix="1">
      <alignment/>
    </xf>
    <xf numFmtId="16" fontId="6" fillId="33" borderId="31" xfId="0" applyNumberFormat="1" applyFont="1" applyFill="1" applyBorder="1" applyAlignment="1">
      <alignment textRotation="90"/>
    </xf>
    <xf numFmtId="0" fontId="6" fillId="33" borderId="0" xfId="0" applyFont="1" applyFill="1" applyBorder="1" applyAlignment="1">
      <alignment/>
    </xf>
    <xf numFmtId="170" fontId="6" fillId="33" borderId="30" xfId="42" applyNumberFormat="1" applyFont="1" applyFill="1" applyBorder="1" applyAlignment="1">
      <alignment horizontal="center" wrapText="1"/>
    </xf>
    <xf numFmtId="0" fontId="0" fillId="33" borderId="30" xfId="0" applyFill="1" applyBorder="1" applyAlignment="1">
      <alignment horizontal="center"/>
    </xf>
    <xf numFmtId="0" fontId="0" fillId="33" borderId="28" xfId="0" applyFill="1" applyBorder="1" applyAlignment="1">
      <alignment/>
    </xf>
    <xf numFmtId="0" fontId="0" fillId="33" borderId="28" xfId="0" applyFill="1" applyBorder="1" applyAlignment="1">
      <alignment horizontal="center"/>
    </xf>
    <xf numFmtId="0" fontId="0" fillId="33" borderId="29" xfId="0" applyFill="1" applyBorder="1" applyAlignment="1">
      <alignment/>
    </xf>
    <xf numFmtId="0" fontId="0" fillId="33" borderId="29"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12" fillId="33" borderId="0" xfId="0" applyFont="1" applyFill="1" applyAlignment="1">
      <alignmen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6" fillId="35" borderId="0" xfId="0" applyFont="1" applyFill="1" applyAlignment="1">
      <alignment/>
    </xf>
    <xf numFmtId="0" fontId="6" fillId="36" borderId="0" xfId="0" applyFont="1" applyFill="1" applyAlignment="1">
      <alignment/>
    </xf>
    <xf numFmtId="0" fontId="6" fillId="0" borderId="0" xfId="0" applyFont="1" applyAlignment="1">
      <alignment horizontal="right"/>
    </xf>
    <xf numFmtId="0" fontId="13" fillId="33" borderId="0" xfId="0" applyFont="1" applyFill="1" applyAlignment="1">
      <alignment/>
    </xf>
    <xf numFmtId="0" fontId="7" fillId="0" borderId="0" xfId="0" applyFont="1" applyAlignment="1">
      <alignment/>
    </xf>
    <xf numFmtId="0" fontId="13" fillId="33" borderId="0" xfId="0" applyFont="1" applyFill="1" applyAlignment="1">
      <alignment horizontal="right"/>
    </xf>
    <xf numFmtId="0" fontId="13" fillId="33" borderId="0" xfId="0" applyFont="1" applyFill="1" applyAlignment="1">
      <alignment horizontal="center"/>
    </xf>
    <xf numFmtId="0" fontId="14" fillId="0" borderId="0" xfId="0" applyFont="1" applyAlignment="1">
      <alignment horizontal="left"/>
    </xf>
    <xf numFmtId="0" fontId="14" fillId="0" borderId="0" xfId="0" applyFont="1" applyAlignment="1">
      <alignment/>
    </xf>
    <xf numFmtId="0" fontId="0" fillId="0" borderId="39" xfId="0" applyFont="1" applyBorder="1" applyAlignment="1">
      <alignment horizontal="right"/>
    </xf>
    <xf numFmtId="0" fontId="0" fillId="0" borderId="40" xfId="0" applyFont="1" applyBorder="1" applyAlignment="1">
      <alignment horizontal="center"/>
    </xf>
    <xf numFmtId="170" fontId="0" fillId="0" borderId="40" xfId="42" applyNumberFormat="1" applyFont="1" applyBorder="1" applyAlignment="1">
      <alignment horizontal="center"/>
    </xf>
    <xf numFmtId="170" fontId="0" fillId="0" borderId="15" xfId="42" applyNumberFormat="1" applyFont="1" applyBorder="1" applyAlignment="1">
      <alignment horizontal="right"/>
    </xf>
    <xf numFmtId="0" fontId="0" fillId="34" borderId="39" xfId="0" applyFont="1" applyFill="1" applyBorder="1" applyAlignment="1">
      <alignment horizontal="center" wrapText="1"/>
    </xf>
    <xf numFmtId="16" fontId="0" fillId="34" borderId="40" xfId="0" applyNumberFormat="1" applyFont="1" applyFill="1" applyBorder="1" applyAlignment="1">
      <alignment textRotation="90"/>
    </xf>
    <xf numFmtId="170" fontId="0" fillId="34" borderId="41" xfId="42" applyNumberFormat="1" applyFont="1" applyFill="1" applyBorder="1" applyAlignment="1">
      <alignment horizontal="center" wrapText="1"/>
    </xf>
    <xf numFmtId="1" fontId="0" fillId="0" borderId="42" xfId="42" applyNumberFormat="1" applyFont="1" applyBorder="1" applyAlignment="1">
      <alignment horizontal="center"/>
    </xf>
    <xf numFmtId="1" fontId="0" fillId="0" borderId="43" xfId="42" applyNumberFormat="1" applyFont="1" applyBorder="1" applyAlignment="1" quotePrefix="1">
      <alignment horizontal="center"/>
    </xf>
    <xf numFmtId="171" fontId="0" fillId="0" borderId="44" xfId="42" applyNumberFormat="1" applyFont="1" applyBorder="1" applyAlignment="1" quotePrefix="1">
      <alignment/>
    </xf>
    <xf numFmtId="1" fontId="0" fillId="0" borderId="45" xfId="42" applyNumberFormat="1" applyFont="1" applyBorder="1" applyAlignment="1">
      <alignment horizontal="center"/>
    </xf>
    <xf numFmtId="1" fontId="0" fillId="0" borderId="0" xfId="42" applyNumberFormat="1" applyFont="1" applyBorder="1" applyAlignment="1" quotePrefix="1">
      <alignment horizontal="center"/>
    </xf>
    <xf numFmtId="171" fontId="0" fillId="0" borderId="46" xfId="42" applyNumberFormat="1" applyFont="1" applyBorder="1" applyAlignment="1" quotePrefix="1">
      <alignment/>
    </xf>
    <xf numFmtId="1" fontId="0" fillId="0" borderId="47" xfId="42" applyNumberFormat="1" applyFont="1" applyBorder="1" applyAlignment="1">
      <alignment horizontal="center"/>
    </xf>
    <xf numFmtId="1" fontId="0" fillId="0" borderId="48" xfId="42" applyNumberFormat="1" applyFont="1" applyBorder="1" applyAlignment="1" quotePrefix="1">
      <alignment horizontal="center"/>
    </xf>
    <xf numFmtId="171" fontId="0" fillId="0" borderId="49" xfId="42" applyNumberFormat="1" applyFont="1" applyBorder="1" applyAlignment="1" quotePrefix="1">
      <alignment/>
    </xf>
    <xf numFmtId="0" fontId="0" fillId="0" borderId="50" xfId="0" applyFont="1" applyBorder="1" applyAlignment="1">
      <alignment horizontal="right"/>
    </xf>
    <xf numFmtId="169" fontId="0" fillId="33" borderId="0" xfId="42" applyNumberFormat="1" applyFont="1" applyFill="1" applyAlignment="1">
      <alignment/>
    </xf>
    <xf numFmtId="0" fontId="0" fillId="33" borderId="0" xfId="0" applyFont="1" applyFill="1" applyAlignment="1">
      <alignment horizontal="right"/>
    </xf>
    <xf numFmtId="0" fontId="6" fillId="33" borderId="0" xfId="0" applyFont="1" applyFill="1" applyAlignment="1" quotePrefix="1">
      <alignment/>
    </xf>
    <xf numFmtId="0" fontId="0" fillId="33" borderId="0" xfId="0" applyFont="1" applyFill="1" applyAlignment="1">
      <alignment/>
    </xf>
    <xf numFmtId="0" fontId="6" fillId="33" borderId="33" xfId="0" applyFont="1" applyFill="1" applyBorder="1" applyAlignment="1">
      <alignment horizontal="right"/>
    </xf>
    <xf numFmtId="0" fontId="7" fillId="33" borderId="30" xfId="0" applyFont="1" applyFill="1" applyBorder="1" applyAlignment="1" quotePrefix="1">
      <alignment horizontal="center"/>
    </xf>
    <xf numFmtId="0" fontId="7" fillId="33" borderId="37" xfId="0" applyFont="1" applyFill="1" applyBorder="1" applyAlignment="1">
      <alignment horizontal="center"/>
    </xf>
    <xf numFmtId="170" fontId="6" fillId="33" borderId="31" xfId="42" applyNumberFormat="1" applyFont="1" applyFill="1" applyBorder="1" applyAlignment="1">
      <alignment horizontal="center"/>
    </xf>
    <xf numFmtId="170" fontId="6" fillId="33" borderId="31" xfId="42" applyNumberFormat="1" applyFont="1" applyFill="1" applyBorder="1" applyAlignment="1">
      <alignment horizontal="right"/>
    </xf>
    <xf numFmtId="170" fontId="6" fillId="33" borderId="28" xfId="42" applyNumberFormat="1" applyFont="1" applyFill="1" applyBorder="1" applyAlignment="1">
      <alignment horizontal="center"/>
    </xf>
    <xf numFmtId="170" fontId="6" fillId="33" borderId="28" xfId="42" applyNumberFormat="1" applyFont="1" applyFill="1" applyBorder="1" applyAlignment="1">
      <alignment horizontal="right"/>
    </xf>
    <xf numFmtId="0" fontId="6" fillId="33" borderId="28" xfId="0" applyFont="1" applyFill="1" applyBorder="1" applyAlignment="1">
      <alignment horizontal="right"/>
    </xf>
    <xf numFmtId="0" fontId="6" fillId="33" borderId="30" xfId="0" applyFont="1" applyFill="1" applyBorder="1" applyAlignment="1">
      <alignment horizontal="center" wrapText="1"/>
    </xf>
    <xf numFmtId="0" fontId="6" fillId="0" borderId="31" xfId="0" applyFont="1" applyBorder="1" applyAlignment="1">
      <alignment/>
    </xf>
    <xf numFmtId="0" fontId="6" fillId="0" borderId="29" xfId="0" applyFont="1" applyBorder="1" applyAlignment="1">
      <alignment/>
    </xf>
    <xf numFmtId="0" fontId="6" fillId="0" borderId="31" xfId="0" applyFont="1" applyBorder="1" applyAlignment="1">
      <alignment horizontal="right"/>
    </xf>
    <xf numFmtId="0" fontId="6" fillId="0" borderId="28" xfId="0" applyFont="1" applyBorder="1" applyAlignment="1">
      <alignment horizontal="right"/>
    </xf>
    <xf numFmtId="0" fontId="6" fillId="0" borderId="29" xfId="0" applyFont="1" applyBorder="1" applyAlignment="1">
      <alignment horizontal="right"/>
    </xf>
    <xf numFmtId="173" fontId="6" fillId="33" borderId="31" xfId="42" applyNumberFormat="1" applyFont="1" applyFill="1" applyBorder="1" applyAlignment="1" quotePrefix="1">
      <alignment horizontal="center"/>
    </xf>
    <xf numFmtId="168" fontId="6" fillId="33" borderId="31" xfId="59" applyNumberFormat="1" applyFont="1" applyFill="1" applyBorder="1" applyAlignment="1" quotePrefix="1">
      <alignment horizontal="center"/>
    </xf>
    <xf numFmtId="173" fontId="6" fillId="33" borderId="29" xfId="42" applyNumberFormat="1" applyFont="1" applyFill="1" applyBorder="1" applyAlignment="1">
      <alignment horizontal="center"/>
    </xf>
    <xf numFmtId="2" fontId="6" fillId="33" borderId="0" xfId="0" applyNumberFormat="1" applyFont="1" applyFill="1" applyAlignment="1">
      <alignment horizontal="center"/>
    </xf>
    <xf numFmtId="173" fontId="6" fillId="33" borderId="28" xfId="42" applyNumberFormat="1" applyFont="1" applyFill="1" applyBorder="1" applyAlignment="1">
      <alignment horizontal="center"/>
    </xf>
    <xf numFmtId="0" fontId="8" fillId="33" borderId="32" xfId="0" applyFont="1" applyFill="1" applyBorder="1" applyAlignment="1" applyProtection="1">
      <alignment horizontal="center"/>
      <protection locked="0"/>
    </xf>
    <xf numFmtId="0" fontId="8" fillId="33" borderId="51" xfId="0" applyFont="1" applyFill="1" applyBorder="1" applyAlignment="1" applyProtection="1">
      <alignment horizontal="center"/>
      <protection locked="0"/>
    </xf>
    <xf numFmtId="173" fontId="6" fillId="33" borderId="38" xfId="42" applyNumberFormat="1" applyFont="1" applyFill="1" applyBorder="1" applyAlignment="1" quotePrefix="1">
      <alignment/>
    </xf>
    <xf numFmtId="173" fontId="6" fillId="33" borderId="35" xfId="42" applyNumberFormat="1" applyFont="1" applyFill="1" applyBorder="1" applyAlignment="1" quotePrefix="1">
      <alignment/>
    </xf>
    <xf numFmtId="173" fontId="6" fillId="33" borderId="36" xfId="42" applyNumberFormat="1" applyFont="1" applyFill="1" applyBorder="1" applyAlignment="1" quotePrefix="1">
      <alignment/>
    </xf>
    <xf numFmtId="0" fontId="8" fillId="33" borderId="37" xfId="0" applyFont="1" applyFill="1" applyBorder="1" applyAlignment="1" applyProtection="1">
      <alignment horizontal="center"/>
      <protection locked="0"/>
    </xf>
    <xf numFmtId="0" fontId="8" fillId="33" borderId="33"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0" fillId="33" borderId="0" xfId="0" applyFill="1" applyBorder="1" applyAlignment="1">
      <alignment/>
    </xf>
    <xf numFmtId="0" fontId="13" fillId="33" borderId="0" xfId="0" applyFont="1" applyFill="1" applyBorder="1" applyAlignment="1">
      <alignment horizontal="center"/>
    </xf>
    <xf numFmtId="0" fontId="16" fillId="33" borderId="0" xfId="0" applyFont="1" applyFill="1" applyAlignment="1">
      <alignment/>
    </xf>
    <xf numFmtId="16" fontId="6" fillId="33" borderId="25" xfId="0" applyNumberFormat="1" applyFont="1" applyFill="1" applyBorder="1" applyAlignment="1">
      <alignment horizontal="center"/>
    </xf>
    <xf numFmtId="0" fontId="6" fillId="33" borderId="26" xfId="0" applyFont="1" applyFill="1" applyBorder="1" applyAlignment="1">
      <alignment horizontal="center"/>
    </xf>
    <xf numFmtId="16" fontId="6" fillId="33" borderId="27" xfId="0" applyNumberFormat="1" applyFont="1" applyFill="1" applyBorder="1" applyAlignment="1">
      <alignment horizontal="center"/>
    </xf>
    <xf numFmtId="0" fontId="6" fillId="33" borderId="35" xfId="0" applyFont="1" applyFill="1" applyBorder="1" applyAlignment="1">
      <alignment/>
    </xf>
    <xf numFmtId="0" fontId="6" fillId="33" borderId="35" xfId="0" applyFont="1" applyFill="1" applyBorder="1" applyAlignment="1">
      <alignment horizontal="center"/>
    </xf>
    <xf numFmtId="0" fontId="6" fillId="33" borderId="36" xfId="0" applyFont="1" applyFill="1" applyBorder="1" applyAlignment="1">
      <alignment/>
    </xf>
    <xf numFmtId="0" fontId="6" fillId="33" borderId="36" xfId="0" applyFont="1" applyFill="1" applyBorder="1" applyAlignment="1">
      <alignment horizontal="center"/>
    </xf>
    <xf numFmtId="0" fontId="6" fillId="33" borderId="0" xfId="0" applyFont="1" applyFill="1" applyBorder="1" applyAlignment="1">
      <alignment horizontal="center"/>
    </xf>
    <xf numFmtId="0" fontId="6" fillId="33" borderId="0" xfId="0" applyFont="1" applyFill="1" applyBorder="1" applyAlignment="1">
      <alignment/>
    </xf>
    <xf numFmtId="0" fontId="6" fillId="33" borderId="51" xfId="0" applyFont="1" applyFill="1" applyBorder="1" applyAlignment="1">
      <alignment horizontal="center"/>
    </xf>
    <xf numFmtId="0" fontId="7" fillId="33" borderId="0" xfId="0" applyFont="1" applyFill="1" applyBorder="1" applyAlignment="1" quotePrefix="1">
      <alignment horizontal="left"/>
    </xf>
    <xf numFmtId="0" fontId="6" fillId="33" borderId="37" xfId="0" applyFont="1" applyFill="1" applyBorder="1" applyAlignment="1">
      <alignment/>
    </xf>
    <xf numFmtId="0" fontId="6" fillId="33" borderId="25" xfId="0" applyFont="1" applyFill="1" applyBorder="1" applyAlignment="1">
      <alignment horizontal="left"/>
    </xf>
    <xf numFmtId="14" fontId="6" fillId="33" borderId="30" xfId="0" applyNumberFormat="1" applyFont="1" applyFill="1" applyBorder="1" applyAlignment="1">
      <alignment horizontal="center"/>
    </xf>
    <xf numFmtId="0" fontId="0" fillId="33" borderId="30" xfId="0" applyFont="1" applyFill="1" applyBorder="1" applyAlignment="1">
      <alignment horizontal="center"/>
    </xf>
    <xf numFmtId="0" fontId="0" fillId="33" borderId="33" xfId="0" applyFont="1" applyFill="1" applyBorder="1" applyAlignment="1">
      <alignment horizontal="center"/>
    </xf>
    <xf numFmtId="0" fontId="0" fillId="33" borderId="28"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xf>
    <xf numFmtId="0" fontId="4" fillId="33" borderId="0" xfId="53" applyFont="1" applyFill="1" applyAlignment="1" applyProtection="1">
      <alignment horizontal="left"/>
      <protection/>
    </xf>
    <xf numFmtId="0" fontId="7"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6" fillId="33" borderId="0" xfId="0" applyNumberFormat="1" applyFont="1" applyFill="1" applyAlignment="1">
      <alignment horizontal="left" wrapText="1"/>
    </xf>
    <xf numFmtId="0" fontId="6" fillId="33" borderId="0" xfId="0" applyFont="1" applyFill="1" applyAlignment="1">
      <alignment horizontal="right"/>
    </xf>
    <xf numFmtId="0" fontId="6" fillId="33" borderId="30" xfId="0" applyFont="1" applyFill="1" applyBorder="1" applyAlignment="1">
      <alignment horizontal="right"/>
    </xf>
    <xf numFmtId="0" fontId="4" fillId="33" borderId="0" xfId="53" applyFont="1" applyFill="1" applyAlignment="1" applyProtection="1">
      <alignment/>
      <protection/>
    </xf>
    <xf numFmtId="0" fontId="1" fillId="33" borderId="30" xfId="0" applyFont="1" applyFill="1" applyBorder="1" applyAlignment="1">
      <alignment horizontal="center"/>
    </xf>
    <xf numFmtId="0" fontId="0" fillId="33" borderId="0" xfId="0" applyFont="1" applyFill="1" applyBorder="1" applyAlignment="1">
      <alignment horizontal="left"/>
    </xf>
    <xf numFmtId="0" fontId="10" fillId="33" borderId="0" xfId="0" applyFont="1" applyFill="1" applyBorder="1" applyAlignment="1">
      <alignment horizontal="left"/>
    </xf>
    <xf numFmtId="0" fontId="6" fillId="33" borderId="0" xfId="0" applyFont="1" applyFill="1" applyBorder="1" applyAlignment="1">
      <alignment horizontal="left"/>
    </xf>
    <xf numFmtId="16" fontId="6" fillId="33" borderId="25" xfId="0" applyNumberFormat="1" applyFont="1" applyFill="1" applyBorder="1" applyAlignment="1">
      <alignment textRotation="90"/>
    </xf>
    <xf numFmtId="164" fontId="8" fillId="33" borderId="28" xfId="0" applyNumberFormat="1" applyFont="1" applyFill="1" applyBorder="1" applyAlignment="1" applyProtection="1">
      <alignment horizontal="center"/>
      <protection locked="0"/>
    </xf>
    <xf numFmtId="167" fontId="6" fillId="33" borderId="28" xfId="42" applyNumberFormat="1" applyFont="1" applyFill="1" applyBorder="1" applyAlignment="1" quotePrefix="1">
      <alignment horizontal="center"/>
    </xf>
    <xf numFmtId="167" fontId="6" fillId="33" borderId="29" xfId="42" applyNumberFormat="1" applyFont="1" applyFill="1" applyBorder="1" applyAlignment="1" quotePrefix="1">
      <alignment horizontal="center"/>
    </xf>
    <xf numFmtId="170" fontId="6" fillId="33" borderId="31" xfId="42" applyNumberFormat="1" applyFont="1" applyFill="1" applyBorder="1" applyAlignment="1">
      <alignment horizontal="center"/>
    </xf>
    <xf numFmtId="0" fontId="12" fillId="33" borderId="0" xfId="0" applyFont="1" applyFill="1" applyAlignment="1">
      <alignment horizontal="center"/>
    </xf>
    <xf numFmtId="0" fontId="17" fillId="33" borderId="0" xfId="0" applyFont="1" applyFill="1" applyAlignment="1">
      <alignment horizontal="left"/>
    </xf>
    <xf numFmtId="0" fontId="12" fillId="33" borderId="0" xfId="0" applyFont="1" applyFill="1" applyAlignment="1">
      <alignment horizontal="left"/>
    </xf>
    <xf numFmtId="0" fontId="18" fillId="33" borderId="0" xfId="0" applyFont="1" applyFill="1" applyAlignment="1">
      <alignment horizontal="left"/>
    </xf>
    <xf numFmtId="0" fontId="2" fillId="33" borderId="0" xfId="0" applyFont="1" applyFill="1" applyAlignment="1">
      <alignment horizontal="center"/>
    </xf>
    <xf numFmtId="164" fontId="8" fillId="33" borderId="31" xfId="0" applyNumberFormat="1" applyFont="1" applyFill="1" applyBorder="1" applyAlignment="1" applyProtection="1">
      <alignment horizontal="center"/>
      <protection locked="0"/>
    </xf>
    <xf numFmtId="0" fontId="6" fillId="33" borderId="51" xfId="0" applyFont="1" applyFill="1" applyBorder="1" applyAlignment="1">
      <alignment horizontal="center"/>
    </xf>
    <xf numFmtId="0" fontId="10" fillId="33" borderId="0" xfId="0" applyFont="1" applyFill="1" applyAlignment="1">
      <alignment/>
    </xf>
    <xf numFmtId="0" fontId="0" fillId="33" borderId="0" xfId="0" applyFont="1" applyFill="1" applyAlignment="1">
      <alignment/>
    </xf>
    <xf numFmtId="0" fontId="6" fillId="33" borderId="0" xfId="0" applyFont="1" applyFill="1" applyAlignment="1">
      <alignment/>
    </xf>
    <xf numFmtId="0" fontId="6" fillId="33" borderId="30" xfId="0" applyFont="1" applyFill="1" applyBorder="1" applyAlignment="1">
      <alignment/>
    </xf>
    <xf numFmtId="0" fontId="13" fillId="33" borderId="0" xfId="0" applyFont="1" applyFill="1" applyAlignment="1">
      <alignment/>
    </xf>
    <xf numFmtId="0" fontId="6" fillId="33" borderId="28" xfId="0" applyFont="1" applyFill="1" applyBorder="1" applyAlignment="1">
      <alignment/>
    </xf>
    <xf numFmtId="0" fontId="6" fillId="33" borderId="29" xfId="0" applyFont="1" applyFill="1" applyBorder="1" applyAlignment="1">
      <alignment/>
    </xf>
    <xf numFmtId="0" fontId="6" fillId="33" borderId="0" xfId="0" applyFont="1" applyFill="1" applyBorder="1" applyAlignment="1">
      <alignment/>
    </xf>
    <xf numFmtId="1" fontId="6" fillId="33" borderId="28" xfId="0" applyNumberFormat="1" applyFont="1" applyFill="1" applyBorder="1" applyAlignment="1">
      <alignment horizontal="center"/>
    </xf>
    <xf numFmtId="1" fontId="6" fillId="33" borderId="29" xfId="0" applyNumberFormat="1" applyFont="1" applyFill="1" applyBorder="1" applyAlignment="1">
      <alignment horizontal="center"/>
    </xf>
    <xf numFmtId="0" fontId="7" fillId="33" borderId="30" xfId="0" applyFont="1" applyFill="1" applyBorder="1" applyAlignment="1">
      <alignment horizontal="center"/>
    </xf>
    <xf numFmtId="0" fontId="6" fillId="33" borderId="0" xfId="0" applyFont="1" applyFill="1" applyAlignment="1" quotePrefix="1">
      <alignment horizontal="center"/>
    </xf>
    <xf numFmtId="0" fontId="11" fillId="33" borderId="0" xfId="0" applyFont="1" applyFill="1" applyBorder="1" applyAlignment="1">
      <alignment/>
    </xf>
    <xf numFmtId="0" fontId="19" fillId="33" borderId="0" xfId="0" applyFont="1" applyFill="1" applyBorder="1" applyAlignment="1">
      <alignment/>
    </xf>
    <xf numFmtId="0" fontId="0" fillId="33" borderId="0" xfId="0" applyFill="1" applyBorder="1" applyAlignment="1">
      <alignment/>
    </xf>
    <xf numFmtId="0" fontId="11" fillId="33" borderId="30" xfId="0" applyFont="1" applyFill="1" applyBorder="1" applyAlignment="1">
      <alignment horizontal="center"/>
    </xf>
    <xf numFmtId="0" fontId="4" fillId="33" borderId="0" xfId="53" applyFill="1" applyBorder="1" applyAlignment="1" applyProtection="1">
      <alignment/>
      <protection/>
    </xf>
    <xf numFmtId="0" fontId="11" fillId="33" borderId="0" xfId="0" applyFont="1" applyFill="1" applyBorder="1" applyAlignment="1">
      <alignment horizontal="center"/>
    </xf>
    <xf numFmtId="0" fontId="0" fillId="33" borderId="0" xfId="0" applyFill="1" applyBorder="1" applyAlignment="1">
      <alignment horizontal="center"/>
    </xf>
    <xf numFmtId="0" fontId="20" fillId="33" borderId="28" xfId="0" applyFont="1" applyFill="1" applyBorder="1" applyAlignment="1">
      <alignment horizontal="right"/>
    </xf>
    <xf numFmtId="0" fontId="20" fillId="33" borderId="28" xfId="0" applyFont="1" applyFill="1" applyBorder="1" applyAlignment="1">
      <alignment/>
    </xf>
    <xf numFmtId="0" fontId="21" fillId="33" borderId="28" xfId="0" applyFont="1" applyFill="1" applyBorder="1" applyAlignment="1">
      <alignment horizontal="center"/>
    </xf>
    <xf numFmtId="0" fontId="20" fillId="33" borderId="28" xfId="0" applyFont="1" applyFill="1" applyBorder="1" applyAlignment="1">
      <alignment horizontal="center"/>
    </xf>
    <xf numFmtId="0" fontId="20" fillId="33" borderId="29" xfId="0" applyFont="1" applyFill="1" applyBorder="1" applyAlignment="1">
      <alignment/>
    </xf>
    <xf numFmtId="0" fontId="21" fillId="33" borderId="29" xfId="0" applyFont="1" applyFill="1" applyBorder="1" applyAlignment="1">
      <alignment horizontal="center"/>
    </xf>
    <xf numFmtId="0" fontId="20" fillId="33" borderId="29" xfId="0" applyFont="1" applyFill="1" applyBorder="1" applyAlignment="1">
      <alignment horizontal="center"/>
    </xf>
    <xf numFmtId="0" fontId="6" fillId="33" borderId="0" xfId="0" applyFont="1" applyFill="1" applyBorder="1" applyAlignment="1">
      <alignment/>
    </xf>
    <xf numFmtId="170" fontId="6" fillId="33" borderId="0" xfId="42" applyNumberFormat="1" applyFont="1" applyFill="1" applyBorder="1" applyAlignment="1">
      <alignment horizontal="center"/>
    </xf>
    <xf numFmtId="170" fontId="6" fillId="33" borderId="0" xfId="42" applyNumberFormat="1" applyFont="1" applyFill="1" applyBorder="1" applyAlignment="1">
      <alignment/>
    </xf>
    <xf numFmtId="0" fontId="9" fillId="33" borderId="0" xfId="53" applyFont="1" applyFill="1" applyAlignment="1" applyProtection="1">
      <alignment/>
      <protection/>
    </xf>
    <xf numFmtId="167" fontId="6" fillId="33" borderId="31" xfId="42" applyNumberFormat="1" applyFont="1" applyFill="1" applyBorder="1" applyAlignment="1" quotePrefix="1">
      <alignment horizontal="center"/>
    </xf>
    <xf numFmtId="0" fontId="8" fillId="33" borderId="31" xfId="0" applyFont="1" applyFill="1" applyBorder="1" applyAlignment="1" applyProtection="1">
      <alignment horizontal="center"/>
      <protection locked="0"/>
    </xf>
    <xf numFmtId="0" fontId="0" fillId="33" borderId="25" xfId="0" applyFont="1" applyFill="1" applyBorder="1" applyAlignment="1">
      <alignment horizontal="center"/>
    </xf>
    <xf numFmtId="20" fontId="0" fillId="33" borderId="0" xfId="0" applyNumberFormat="1" applyFill="1" applyAlignment="1">
      <alignment/>
    </xf>
    <xf numFmtId="16" fontId="0" fillId="33" borderId="0" xfId="0" applyNumberFormat="1" applyFill="1" applyAlignment="1" quotePrefix="1">
      <alignment/>
    </xf>
    <xf numFmtId="0" fontId="22" fillId="33" borderId="0" xfId="0" applyFont="1" applyFill="1" applyAlignment="1">
      <alignment horizontal="center"/>
    </xf>
    <xf numFmtId="0" fontId="0" fillId="33" borderId="0" xfId="0" applyFont="1" applyFill="1" applyAlignment="1">
      <alignment/>
    </xf>
    <xf numFmtId="0" fontId="1" fillId="33" borderId="0" xfId="0" applyFont="1" applyFill="1" applyBorder="1" applyAlignment="1">
      <alignment horizontal="center"/>
    </xf>
    <xf numFmtId="0" fontId="6" fillId="33" borderId="0" xfId="0" applyFont="1" applyFill="1" applyBorder="1" applyAlignment="1">
      <alignment horizontal="right"/>
    </xf>
    <xf numFmtId="0" fontId="6" fillId="33" borderId="25" xfId="0" applyFont="1" applyFill="1" applyBorder="1" applyAlignment="1" quotePrefix="1">
      <alignment horizontal="center"/>
    </xf>
    <xf numFmtId="0" fontId="6" fillId="33" borderId="27" xfId="0" applyFont="1" applyFill="1" applyBorder="1" applyAlignment="1" quotePrefix="1">
      <alignment horizontal="center"/>
    </xf>
    <xf numFmtId="173" fontId="6" fillId="33" borderId="0" xfId="42" applyNumberFormat="1" applyFont="1" applyFill="1" applyBorder="1" applyAlignment="1">
      <alignment/>
    </xf>
    <xf numFmtId="0" fontId="7" fillId="33" borderId="0" xfId="0" applyFont="1" applyFill="1" applyAlignment="1">
      <alignment horizontal="left" wrapText="1"/>
    </xf>
    <xf numFmtId="168" fontId="6" fillId="0" borderId="0" xfId="59" applyNumberFormat="1" applyFont="1" applyAlignment="1">
      <alignment/>
    </xf>
    <xf numFmtId="170" fontId="6" fillId="33" borderId="38" xfId="42" applyNumberFormat="1" applyFont="1" applyFill="1" applyBorder="1" applyAlignment="1">
      <alignment horizontal="center"/>
    </xf>
    <xf numFmtId="10" fontId="6" fillId="0" borderId="0" xfId="59" applyNumberFormat="1" applyFont="1" applyAlignment="1">
      <alignment/>
    </xf>
    <xf numFmtId="0" fontId="1" fillId="0" borderId="0" xfId="0" applyFont="1" applyAlignment="1">
      <alignment/>
    </xf>
    <xf numFmtId="0" fontId="15" fillId="0" borderId="0" xfId="0" applyFont="1" applyAlignment="1">
      <alignment/>
    </xf>
    <xf numFmtId="0" fontId="15" fillId="0" borderId="0" xfId="0" applyFont="1" applyAlignment="1">
      <alignment horizontal="center"/>
    </xf>
    <xf numFmtId="0" fontId="0" fillId="0" borderId="0" xfId="0" applyAlignment="1">
      <alignment horizontal="center"/>
    </xf>
    <xf numFmtId="0" fontId="4" fillId="33" borderId="28" xfId="53" applyFill="1" applyBorder="1" applyAlignment="1" applyProtection="1">
      <alignment/>
      <protection/>
    </xf>
    <xf numFmtId="0" fontId="0" fillId="0" borderId="0" xfId="0" applyAlignment="1">
      <alignment horizontal="left"/>
    </xf>
    <xf numFmtId="0" fontId="7" fillId="33" borderId="25" xfId="0" applyFont="1" applyFill="1" applyBorder="1" applyAlignment="1">
      <alignment/>
    </xf>
    <xf numFmtId="0" fontId="7" fillId="33" borderId="26" xfId="0" applyFont="1" applyFill="1" applyBorder="1" applyAlignment="1">
      <alignment/>
    </xf>
    <xf numFmtId="0" fontId="4" fillId="0" borderId="0" xfId="53" applyAlignment="1" applyProtection="1">
      <alignment horizontal="left"/>
      <protection/>
    </xf>
    <xf numFmtId="0" fontId="0" fillId="0" borderId="52" xfId="0" applyBorder="1" applyAlignment="1">
      <alignment horizontal="center" wrapText="1"/>
    </xf>
    <xf numFmtId="0" fontId="1" fillId="34" borderId="52" xfId="0" applyFont="1" applyFill="1" applyBorder="1" applyAlignment="1">
      <alignment horizontal="center" vertical="center"/>
    </xf>
    <xf numFmtId="0" fontId="0" fillId="0" borderId="52" xfId="0" applyBorder="1" applyAlignment="1">
      <alignment/>
    </xf>
    <xf numFmtId="0" fontId="0" fillId="0" borderId="52" xfId="0" applyBorder="1" applyAlignment="1">
      <alignment wrapText="1"/>
    </xf>
    <xf numFmtId="0" fontId="1" fillId="0" borderId="52" xfId="0" applyFont="1" applyBorder="1" applyAlignment="1">
      <alignment horizontal="center" wrapText="1"/>
    </xf>
    <xf numFmtId="0" fontId="0" fillId="0" borderId="52" xfId="0" applyBorder="1" applyAlignment="1">
      <alignment horizontal="right" wrapText="1"/>
    </xf>
    <xf numFmtId="0" fontId="0" fillId="0" borderId="52" xfId="0" applyBorder="1" applyAlignment="1">
      <alignment horizontal="right"/>
    </xf>
    <xf numFmtId="0" fontId="0" fillId="0" borderId="52" xfId="0" applyBorder="1" applyAlignment="1">
      <alignment horizontal="center"/>
    </xf>
    <xf numFmtId="0" fontId="0" fillId="0" borderId="0" xfId="0" applyAlignment="1">
      <alignment horizontal="center" wrapText="1"/>
    </xf>
    <xf numFmtId="0" fontId="6" fillId="33" borderId="51" xfId="0" applyFont="1" applyFill="1" applyBorder="1" applyAlignment="1">
      <alignment/>
    </xf>
    <xf numFmtId="0" fontId="6" fillId="33" borderId="26" xfId="0" applyFont="1" applyFill="1" applyBorder="1" applyAlignment="1">
      <alignment horizontal="center"/>
    </xf>
    <xf numFmtId="0" fontId="6" fillId="33" borderId="28" xfId="0" applyFont="1" applyFill="1" applyBorder="1" applyAlignment="1">
      <alignment horizontal="center" textRotation="90"/>
    </xf>
    <xf numFmtId="0" fontId="6" fillId="33" borderId="28" xfId="0" applyFont="1" applyFill="1" applyBorder="1" applyAlignment="1">
      <alignment horizontal="center" textRotation="90" wrapText="1"/>
    </xf>
    <xf numFmtId="0" fontId="6" fillId="33" borderId="30" xfId="0" applyFont="1" applyFill="1" applyBorder="1" applyAlignment="1">
      <alignment horizontal="center" textRotation="90"/>
    </xf>
    <xf numFmtId="0" fontId="6" fillId="33" borderId="30" xfId="0" applyFont="1" applyFill="1" applyBorder="1" applyAlignment="1">
      <alignment horizontal="center" textRotation="90" wrapText="1"/>
    </xf>
    <xf numFmtId="0" fontId="0" fillId="0" borderId="30" xfId="0" applyBorder="1" applyAlignment="1">
      <alignment/>
    </xf>
    <xf numFmtId="0" fontId="8" fillId="33" borderId="31" xfId="0" applyFont="1" applyFill="1" applyBorder="1" applyAlignment="1">
      <alignment horizontal="center"/>
    </xf>
    <xf numFmtId="0" fontId="8" fillId="33" borderId="28" xfId="0" applyFont="1" applyFill="1" applyBorder="1" applyAlignment="1">
      <alignment horizontal="center"/>
    </xf>
    <xf numFmtId="0" fontId="8" fillId="33" borderId="29" xfId="0" applyFont="1" applyFill="1" applyBorder="1" applyAlignment="1">
      <alignment horizontal="center"/>
    </xf>
    <xf numFmtId="0" fontId="6" fillId="33" borderId="51" xfId="0" applyFont="1" applyFill="1" applyBorder="1" applyAlignment="1">
      <alignment horizontal="left"/>
    </xf>
    <xf numFmtId="0" fontId="1" fillId="0" borderId="30" xfId="0" applyFont="1" applyBorder="1" applyAlignment="1">
      <alignment horizontal="center" vertical="center" wrapText="1"/>
    </xf>
    <xf numFmtId="0" fontId="0" fillId="0" borderId="30" xfId="0" applyBorder="1" applyAlignment="1">
      <alignment horizontal="left" wrapText="1"/>
    </xf>
    <xf numFmtId="0" fontId="0" fillId="0" borderId="30" xfId="0" applyBorder="1" applyAlignment="1">
      <alignment horizontal="right" wrapText="1"/>
    </xf>
    <xf numFmtId="0" fontId="0" fillId="0" borderId="30" xfId="0" applyBorder="1" applyAlignment="1">
      <alignment horizontal="center" wrapText="1"/>
    </xf>
    <xf numFmtId="0" fontId="0" fillId="0" borderId="0" xfId="0" applyAlignment="1">
      <alignment horizontal="left" wrapText="1"/>
    </xf>
    <xf numFmtId="0" fontId="0" fillId="0" borderId="0" xfId="0" applyAlignment="1">
      <alignment horizontal="right" wrapText="1"/>
    </xf>
    <xf numFmtId="0" fontId="1" fillId="0" borderId="0" xfId="0" applyFont="1" applyAlignment="1">
      <alignment horizontal="left" wrapText="1"/>
    </xf>
    <xf numFmtId="0" fontId="6" fillId="33" borderId="32" xfId="0" applyFont="1" applyFill="1" applyBorder="1" applyAlignment="1">
      <alignment horizontal="right"/>
    </xf>
    <xf numFmtId="173" fontId="6" fillId="33" borderId="31" xfId="42" applyNumberFormat="1" applyFont="1" applyFill="1" applyBorder="1" applyAlignment="1">
      <alignment horizontal="center"/>
    </xf>
    <xf numFmtId="0" fontId="6" fillId="0" borderId="28" xfId="0" applyFont="1" applyBorder="1" applyAlignment="1">
      <alignment/>
    </xf>
    <xf numFmtId="0" fontId="6" fillId="0" borderId="29" xfId="0" applyFont="1" applyBorder="1" applyAlignment="1">
      <alignment/>
    </xf>
    <xf numFmtId="0" fontId="6" fillId="33" borderId="33" xfId="0" applyFont="1" applyFill="1" applyBorder="1" applyAlignment="1">
      <alignment/>
    </xf>
    <xf numFmtId="0" fontId="7" fillId="33" borderId="29" xfId="0" applyFont="1" applyFill="1" applyBorder="1" applyAlignment="1">
      <alignment/>
    </xf>
    <xf numFmtId="173" fontId="6" fillId="33" borderId="37" xfId="42" applyNumberFormat="1" applyFont="1" applyFill="1" applyBorder="1" applyAlignment="1" quotePrefix="1">
      <alignment horizontal="center"/>
    </xf>
    <xf numFmtId="168" fontId="6" fillId="33" borderId="38" xfId="59" applyNumberFormat="1" applyFont="1" applyFill="1" applyBorder="1" applyAlignment="1" quotePrefix="1">
      <alignment horizontal="center"/>
    </xf>
    <xf numFmtId="168" fontId="6" fillId="33" borderId="35" xfId="59" applyNumberFormat="1" applyFont="1" applyFill="1" applyBorder="1" applyAlignment="1" quotePrefix="1">
      <alignment horizontal="center"/>
    </xf>
    <xf numFmtId="0" fontId="6" fillId="0" borderId="31" xfId="0" applyFont="1" applyBorder="1" applyAlignment="1">
      <alignment/>
    </xf>
    <xf numFmtId="173" fontId="6" fillId="33" borderId="31" xfId="42" applyNumberFormat="1" applyFont="1" applyFill="1" applyBorder="1" applyAlignment="1" quotePrefix="1">
      <alignment horizontal="center"/>
    </xf>
    <xf numFmtId="168" fontId="6" fillId="33" borderId="31" xfId="59" applyNumberFormat="1" applyFont="1" applyFill="1" applyBorder="1" applyAlignment="1" quotePrefix="1">
      <alignment horizontal="center"/>
    </xf>
    <xf numFmtId="0" fontId="0" fillId="0" borderId="30" xfId="0" applyBorder="1" applyAlignment="1">
      <alignment horizontal="center"/>
    </xf>
    <xf numFmtId="173" fontId="6" fillId="33" borderId="28" xfId="42" applyNumberFormat="1" applyFont="1" applyFill="1" applyBorder="1" applyAlignment="1" quotePrefix="1">
      <alignment horizontal="center"/>
    </xf>
    <xf numFmtId="168" fontId="6" fillId="33" borderId="28" xfId="59" applyNumberFormat="1" applyFont="1" applyFill="1" applyBorder="1" applyAlignment="1" quotePrefix="1">
      <alignment horizontal="center"/>
    </xf>
    <xf numFmtId="0" fontId="6" fillId="0" borderId="51" xfId="0" applyFont="1" applyBorder="1" applyAlignment="1">
      <alignment/>
    </xf>
    <xf numFmtId="173" fontId="6" fillId="33" borderId="33" xfId="42" applyNumberFormat="1" applyFont="1" applyFill="1" applyBorder="1" applyAlignment="1" quotePrefix="1">
      <alignment horizontal="right"/>
    </xf>
    <xf numFmtId="0" fontId="6" fillId="33" borderId="0" xfId="0" applyFont="1" applyFill="1" applyAlignment="1">
      <alignment horizontal="center"/>
    </xf>
    <xf numFmtId="0" fontId="7" fillId="33" borderId="25" xfId="0" applyFont="1" applyFill="1" applyBorder="1" applyAlignment="1">
      <alignment horizontal="center"/>
    </xf>
    <xf numFmtId="0" fontId="7" fillId="33" borderId="26" xfId="0" applyFont="1" applyFill="1" applyBorder="1" applyAlignment="1">
      <alignment horizontal="center"/>
    </xf>
    <xf numFmtId="0" fontId="7" fillId="33" borderId="27" xfId="0" applyFont="1" applyFill="1" applyBorder="1" applyAlignment="1">
      <alignment horizontal="center"/>
    </xf>
    <xf numFmtId="170" fontId="6" fillId="33" borderId="33" xfId="42" applyNumberFormat="1" applyFont="1" applyFill="1" applyBorder="1" applyAlignment="1">
      <alignment horizontal="center"/>
    </xf>
    <xf numFmtId="170" fontId="6" fillId="33" borderId="35" xfId="42" applyNumberFormat="1" applyFont="1" applyFill="1" applyBorder="1" applyAlignment="1">
      <alignment horizontal="center"/>
    </xf>
    <xf numFmtId="170" fontId="6" fillId="33" borderId="34" xfId="42" applyNumberFormat="1" applyFont="1" applyFill="1" applyBorder="1" applyAlignment="1">
      <alignment horizontal="center"/>
    </xf>
    <xf numFmtId="170" fontId="6" fillId="33" borderId="36" xfId="42" applyNumberFormat="1" applyFont="1" applyFill="1" applyBorder="1" applyAlignment="1">
      <alignment horizontal="center"/>
    </xf>
    <xf numFmtId="0" fontId="6" fillId="33" borderId="25" xfId="0" applyFont="1" applyFill="1" applyBorder="1" applyAlignment="1" applyProtection="1">
      <alignment horizontal="center"/>
      <protection locked="0"/>
    </xf>
    <xf numFmtId="0" fontId="6" fillId="33" borderId="26" xfId="0" applyFont="1" applyFill="1" applyBorder="1" applyAlignment="1" applyProtection="1">
      <alignment horizontal="center"/>
      <protection locked="0"/>
    </xf>
    <xf numFmtId="0" fontId="6" fillId="33" borderId="25" xfId="0" applyFont="1" applyFill="1" applyBorder="1" applyAlignment="1">
      <alignment horizontal="center"/>
    </xf>
    <xf numFmtId="0" fontId="6" fillId="33" borderId="26" xfId="0" applyFont="1" applyFill="1" applyBorder="1" applyAlignment="1">
      <alignment horizontal="center"/>
    </xf>
    <xf numFmtId="0" fontId="6" fillId="33" borderId="27" xfId="0" applyFont="1" applyFill="1" applyBorder="1" applyAlignment="1">
      <alignment horizontal="center"/>
    </xf>
    <xf numFmtId="0" fontId="6" fillId="33" borderId="25" xfId="0" applyFont="1" applyFill="1" applyBorder="1" applyAlignment="1">
      <alignment horizontal="center"/>
    </xf>
    <xf numFmtId="0" fontId="6" fillId="33" borderId="26" xfId="0" applyFont="1" applyFill="1" applyBorder="1" applyAlignment="1">
      <alignment horizontal="center"/>
    </xf>
    <xf numFmtId="0" fontId="6" fillId="33" borderId="34" xfId="0" applyFont="1" applyFill="1" applyBorder="1" applyAlignment="1">
      <alignment horizontal="center"/>
    </xf>
    <xf numFmtId="0" fontId="6" fillId="33" borderId="51" xfId="0" applyFont="1" applyFill="1" applyBorder="1" applyAlignment="1">
      <alignment horizontal="center"/>
    </xf>
    <xf numFmtId="0" fontId="6" fillId="33" borderId="36" xfId="0" applyFont="1" applyFill="1" applyBorder="1" applyAlignment="1">
      <alignment horizontal="center"/>
    </xf>
    <xf numFmtId="0" fontId="18"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xf>
    <xf numFmtId="16" fontId="0" fillId="0" borderId="53" xfId="0" applyNumberFormat="1" applyBorder="1" applyAlignment="1">
      <alignment horizontal="center"/>
    </xf>
    <xf numFmtId="16" fontId="0" fillId="0" borderId="54" xfId="0" applyNumberFormat="1" applyBorder="1" applyAlignment="1">
      <alignment horizontal="center"/>
    </xf>
    <xf numFmtId="16" fontId="0" fillId="0" borderId="55"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18" fillId="0" borderId="0" xfId="0" applyFont="1" applyAlignment="1">
      <alignment horizontal="center"/>
    </xf>
    <xf numFmtId="0" fontId="10" fillId="0" borderId="0" xfId="0" applyFont="1" applyAlignment="1">
      <alignment horizontal="center"/>
    </xf>
    <xf numFmtId="16" fontId="6" fillId="33" borderId="25" xfId="0" applyNumberFormat="1" applyFont="1" applyFill="1" applyBorder="1" applyAlignment="1">
      <alignment horizontal="center"/>
    </xf>
    <xf numFmtId="16" fontId="6" fillId="33" borderId="26" xfId="0" applyNumberFormat="1" applyFont="1" applyFill="1" applyBorder="1" applyAlignment="1">
      <alignment horizontal="center"/>
    </xf>
    <xf numFmtId="16" fontId="6" fillId="33" borderId="27" xfId="0" applyNumberFormat="1" applyFont="1" applyFill="1" applyBorder="1" applyAlignment="1">
      <alignment horizontal="center"/>
    </xf>
    <xf numFmtId="0" fontId="6" fillId="33" borderId="32" xfId="0" applyFont="1" applyFill="1" applyBorder="1" applyAlignment="1">
      <alignment horizontal="center"/>
    </xf>
    <xf numFmtId="0" fontId="6" fillId="33"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0</xdr:row>
      <xdr:rowOff>104775</xdr:rowOff>
    </xdr:from>
    <xdr:to>
      <xdr:col>9</xdr:col>
      <xdr:colOff>200025</xdr:colOff>
      <xdr:row>2</xdr:row>
      <xdr:rowOff>152400</xdr:rowOff>
    </xdr:to>
    <xdr:pic>
      <xdr:nvPicPr>
        <xdr:cNvPr id="1" name="Picture 1"/>
        <xdr:cNvPicPr preferRelativeResize="1">
          <a:picLocks noChangeAspect="1"/>
        </xdr:cNvPicPr>
      </xdr:nvPicPr>
      <xdr:blipFill>
        <a:blip r:embed="rId1"/>
        <a:stretch>
          <a:fillRect/>
        </a:stretch>
      </xdr:blipFill>
      <xdr:spPr>
        <a:xfrm>
          <a:off x="5562600" y="104775"/>
          <a:ext cx="485775" cy="476250"/>
        </a:xfrm>
        <a:prstGeom prst="rect">
          <a:avLst/>
        </a:prstGeom>
        <a:noFill/>
        <a:ln w="9525" cmpd="sng">
          <a:noFill/>
        </a:ln>
      </xdr:spPr>
    </xdr:pic>
    <xdr:clientData/>
  </xdr:twoCellAnchor>
  <xdr:twoCellAnchor editAs="oneCell">
    <xdr:from>
      <xdr:col>0</xdr:col>
      <xdr:colOff>0</xdr:colOff>
      <xdr:row>0</xdr:row>
      <xdr:rowOff>0</xdr:rowOff>
    </xdr:from>
    <xdr:to>
      <xdr:col>0</xdr:col>
      <xdr:colOff>581025</xdr:colOff>
      <xdr:row>1</xdr:row>
      <xdr:rowOff>190500</xdr:rowOff>
    </xdr:to>
    <xdr:pic>
      <xdr:nvPicPr>
        <xdr:cNvPr id="2" name="Picture 2"/>
        <xdr:cNvPicPr preferRelativeResize="1">
          <a:picLocks noChangeAspect="1"/>
        </xdr:cNvPicPr>
      </xdr:nvPicPr>
      <xdr:blipFill>
        <a:blip r:embed="rId2"/>
        <a:stretch>
          <a:fillRect/>
        </a:stretch>
      </xdr:blipFill>
      <xdr:spPr>
        <a:xfrm>
          <a:off x="0" y="0"/>
          <a:ext cx="581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larchmontyc.org/racing/documents/ShieldsDistricts07Results_000.pdf" TargetMode="Externa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larchmontyc.org/racing/documents/MemDay07_OneDesign_Overall_001.pdf"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larchmontyc.org/racing/documents/2006MemorialDay.pdf" TargetMode="External" /><Relationship Id="rId2"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eawanhaka.org/archives/ShieldsDistricts06242006Final.ht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larchmontyc.org/racing/documents/RWOne06Results_005.pdf" TargetMode="External" /><Relationship Id="rId2"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shieldsclass.com/2006/"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www.sailingworld.com/article.jsp?ID=44015&amp;typeID=403&amp;catID=604&amp;exclude=NOOD" TargetMode="External" /><Relationship Id="rId2" Type="http://schemas.openxmlformats.org/officeDocument/2006/relationships/printerSettings" Target="../printerSettings/printerSettings10.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larchmontyc.org/racing/documents/ColumbusDayYRA_ColumbusDayResults.pdf" TargetMode="External" /><Relationship Id="rId2" Type="http://schemas.openxmlformats.org/officeDocument/2006/relationships/printerSettings" Target="../printerSettings/printerSettings1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larchmontyc.org/Race_Committee/2005_RWSR_OD_RST.pdf" TargetMode="Externa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larchmontyc.org/Race_Committee/2005_SHNAT_RST.pdf" TargetMode="External" /><Relationship Id="rId2" Type="http://schemas.openxmlformats.org/officeDocument/2006/relationships/printerSettings" Target="../printerSettings/printerSettings1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larchmontyc.org/racing/2004-RW-one-design-results-3.html" TargetMode="External" /><Relationship Id="rId2" Type="http://schemas.openxmlformats.org/officeDocument/2006/relationships/printerSettings" Target="../printerSettings/printerSettings2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larchmontyc.org/racing/2004-Labor-Day-Results-1.htm" TargetMode="External" /><Relationship Id="rId2"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1.xml.rels><?xml version="1.0" encoding="utf-8" standalone="yes"?><Relationships xmlns="http://schemas.openxmlformats.org/package/2006/relationships"><Relationship Id="rId1" Type="http://schemas.openxmlformats.org/officeDocument/2006/relationships/hyperlink" Target="http://www.larchmontyc.org/racing/2004-Columbus-Day-results2.htm" TargetMode="External" /><Relationship Id="rId2" Type="http://schemas.openxmlformats.org/officeDocument/2006/relationships/hyperlink" Target="http://www.starclass.org/search.cgi?Action=view&amp;Event_id=388" TargetMode="External" /><Relationship Id="rId3" Type="http://schemas.openxmlformats.org/officeDocument/2006/relationships/printerSettings" Target="../printerSettings/printerSettings2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5.xml.rels><?xml version="1.0" encoding="utf-8" standalone="yes"?><Relationships xmlns="http://schemas.openxmlformats.org/package/2006/relationships"><Relationship Id="rId1" Type="http://schemas.openxmlformats.org/officeDocument/2006/relationships/hyperlink" Target="http://us.f535.mail.yahoo.com/ym/Compose?To=gstone@clovercap.com&amp;YY=25146&amp;order=down&amp;sort=date&amp;pos=0&amp;view=a&amp;head=b" TargetMode="External" /><Relationship Id="rId2" Type="http://schemas.openxmlformats.org/officeDocument/2006/relationships/hyperlink" Target="http://us.f535.mail.yahoo.com/ym/Compose?To=eo@pallmallpartners.com&amp;YY=25146&amp;order=down&amp;sort=date&amp;pos=0&amp;view=a&amp;head=b" TargetMode="External" /><Relationship Id="rId3" Type="http://schemas.openxmlformats.org/officeDocument/2006/relationships/hyperlink" Target="mailto:kurt_weisenfluh@ml.com" TargetMode="External" /><Relationship Id="rId4" Type="http://schemas.openxmlformats.org/officeDocument/2006/relationships/hyperlink" Target="http://us.f535.mail.yahoo.com/ym/Compose?To=ccrocker@lehman.com&amp;YY=25146&amp;order=down&amp;sort=date&amp;pos=0&amp;view=a&amp;head=b" TargetMode="External" /><Relationship Id="rId5" Type="http://schemas.openxmlformats.org/officeDocument/2006/relationships/hyperlink" Target="http://us.f535.mail.yahoo.com/ym/Compose?To=tbg@shipfinance.net&amp;YY=25146&amp;order=down&amp;sort=date&amp;pos=0&amp;view=a&amp;head=b" TargetMode="External" /><Relationship Id="rId6" Type="http://schemas.openxmlformats.org/officeDocument/2006/relationships/hyperlink" Target="http://us.f535.mail.yahoo.com/ym/Compose?To=neil.meyer@lehman.com&amp;YY=25146&amp;order=down&amp;sort=date&amp;pos=0&amp;view=a&amp;head=b" TargetMode="External" /><Relationship Id="rId7" Type="http://schemas.openxmlformats.org/officeDocument/2006/relationships/hyperlink" Target="http://us.f535.mail.yahoo.com/ym/Compose?To=john.mawe@lehman.com&amp;YY=25146&amp;order=down&amp;sort=date&amp;pos=0&amp;view=a&amp;head=b" TargetMode="External" /><Relationship Id="rId8" Type="http://schemas.openxmlformats.org/officeDocument/2006/relationships/hyperlink" Target="http://us.f535.mail.yahoo.com/ym/Compose?To=wggollner1@optonline.net&amp;YY=25146&amp;order=down&amp;sort=date&amp;pos=0&amp;view=a&amp;head=b" TargetMode="External" /><Relationship Id="rId9" Type="http://schemas.openxmlformats.org/officeDocument/2006/relationships/hyperlink" Target="http://us.f535.mail.yahoo.com/ym/Compose?To=pmassey@masseyknakal.com&amp;YY=25146&amp;order=down&amp;sort=date&amp;pos=0&amp;view=a&amp;head=b" TargetMode="External" /><Relationship Id="rId10" Type="http://schemas.openxmlformats.org/officeDocument/2006/relationships/printerSettings" Target="../printerSettings/printerSettings3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8"/>
  <dimension ref="B2:F20"/>
  <sheetViews>
    <sheetView zoomScalePageLayoutView="0" workbookViewId="0" topLeftCell="A1">
      <selection activeCell="C5" sqref="C5"/>
    </sheetView>
  </sheetViews>
  <sheetFormatPr defaultColWidth="9.140625" defaultRowHeight="12.75"/>
  <cols>
    <col min="1" max="1" width="9.140625" style="302" customWidth="1"/>
    <col min="2" max="2" width="12.57421875" style="302" bestFit="1" customWidth="1"/>
    <col min="3" max="3" width="16.57421875" style="302" bestFit="1" customWidth="1"/>
    <col min="4" max="6" width="16.7109375" style="302" bestFit="1" customWidth="1"/>
    <col min="7" max="7" width="14.28125" style="302" bestFit="1" customWidth="1"/>
    <col min="8" max="8" width="15.140625" style="302" bestFit="1" customWidth="1"/>
    <col min="9" max="16384" width="9.140625" style="302" customWidth="1"/>
  </cols>
  <sheetData>
    <row r="2" spans="2:6" ht="12.75">
      <c r="B2" s="301">
        <v>2007</v>
      </c>
      <c r="C2" s="301">
        <v>2006</v>
      </c>
      <c r="D2" s="301">
        <v>2005</v>
      </c>
      <c r="E2" s="301">
        <v>2004</v>
      </c>
      <c r="F2" s="301" t="s">
        <v>179</v>
      </c>
    </row>
    <row r="3" spans="2:6" ht="12.75">
      <c r="B3" s="75" t="s">
        <v>134</v>
      </c>
      <c r="C3" s="75" t="s">
        <v>140</v>
      </c>
      <c r="D3" s="75" t="s">
        <v>152</v>
      </c>
      <c r="E3" s="75" t="s">
        <v>162</v>
      </c>
      <c r="F3" s="75" t="s">
        <v>139</v>
      </c>
    </row>
    <row r="4" spans="2:6" ht="12.75">
      <c r="B4" s="75" t="s">
        <v>135</v>
      </c>
      <c r="C4" s="75" t="s">
        <v>141</v>
      </c>
      <c r="D4" s="302" t="s">
        <v>153</v>
      </c>
      <c r="F4" s="75" t="s">
        <v>177</v>
      </c>
    </row>
    <row r="5" spans="3:6" ht="12.75">
      <c r="C5" s="75" t="s">
        <v>146</v>
      </c>
      <c r="D5" s="302" t="s">
        <v>154</v>
      </c>
      <c r="E5" s="302" t="s">
        <v>163</v>
      </c>
      <c r="F5" s="75" t="s">
        <v>854</v>
      </c>
    </row>
    <row r="6" spans="3:6" ht="12.75">
      <c r="C6" s="302" t="s">
        <v>142</v>
      </c>
      <c r="D6" s="302" t="s">
        <v>155</v>
      </c>
      <c r="E6" s="302" t="s">
        <v>164</v>
      </c>
      <c r="F6" s="75" t="s">
        <v>174</v>
      </c>
    </row>
    <row r="7" spans="2:6" ht="12.75">
      <c r="B7" s="75" t="s">
        <v>137</v>
      </c>
      <c r="C7" s="302" t="s">
        <v>143</v>
      </c>
      <c r="D7" s="302" t="s">
        <v>158</v>
      </c>
      <c r="F7" s="75" t="s">
        <v>173</v>
      </c>
    </row>
    <row r="8" spans="2:4" ht="12.75">
      <c r="B8" s="75" t="s">
        <v>138</v>
      </c>
      <c r="C8" s="302" t="s">
        <v>144</v>
      </c>
      <c r="D8" s="302" t="s">
        <v>159</v>
      </c>
    </row>
    <row r="9" spans="3:4" ht="12.75">
      <c r="C9" s="302" t="s">
        <v>145</v>
      </c>
      <c r="D9" s="302" t="s">
        <v>165</v>
      </c>
    </row>
    <row r="10" spans="3:4" ht="12.75">
      <c r="C10" s="302" t="s">
        <v>147</v>
      </c>
      <c r="D10" s="302" t="s">
        <v>157</v>
      </c>
    </row>
    <row r="11" spans="3:5" ht="12.75">
      <c r="C11" s="302" t="s">
        <v>148</v>
      </c>
      <c r="D11" s="302" t="s">
        <v>166</v>
      </c>
      <c r="E11" s="302" t="s">
        <v>167</v>
      </c>
    </row>
    <row r="12" spans="3:5" ht="12.75">
      <c r="C12" s="302" t="s">
        <v>149</v>
      </c>
      <c r="D12" s="302" t="s">
        <v>161</v>
      </c>
      <c r="E12" s="302" t="s">
        <v>170</v>
      </c>
    </row>
    <row r="13" spans="3:5" ht="12.75">
      <c r="C13" s="302" t="s">
        <v>150</v>
      </c>
      <c r="D13" s="302" t="s">
        <v>171</v>
      </c>
      <c r="E13" s="302" t="s">
        <v>172</v>
      </c>
    </row>
    <row r="14" spans="2:4" ht="12.75">
      <c r="B14" s="75" t="s">
        <v>136</v>
      </c>
      <c r="C14" s="302" t="s">
        <v>151</v>
      </c>
      <c r="D14" s="302" t="s">
        <v>156</v>
      </c>
    </row>
    <row r="15" spans="3:4" ht="12.75">
      <c r="C15" s="302" t="s">
        <v>178</v>
      </c>
      <c r="D15" s="302" t="s">
        <v>160</v>
      </c>
    </row>
    <row r="16" spans="4:5" ht="12.75">
      <c r="D16" s="302" t="s">
        <v>168</v>
      </c>
      <c r="E16" s="302" t="s">
        <v>169</v>
      </c>
    </row>
    <row r="17" ht="12.75">
      <c r="D17" s="302" t="s">
        <v>181</v>
      </c>
    </row>
    <row r="18" ht="12.75">
      <c r="D18" s="302" t="s">
        <v>180</v>
      </c>
    </row>
    <row r="19" ht="12.75">
      <c r="D19" s="302" t="s">
        <v>182</v>
      </c>
    </row>
    <row r="20" ht="12.75">
      <c r="D20" s="302" t="s">
        <v>183</v>
      </c>
    </row>
  </sheetData>
  <sheetProtection/>
  <hyperlinks>
    <hyperlink ref="B3" location="'2007Season'!A1" display="2007Season"/>
    <hyperlink ref="B4" location="'2007Spring'!A1" display="2007Spring"/>
    <hyperlink ref="B7" location="'2007Memorial'!A1" display="2007Memorial"/>
    <hyperlink ref="B8" location="'2007Districts'!A1" display="2007Districts"/>
    <hyperlink ref="B14" location="'2007PollyAnn'!A1" display="2007PollyAnn"/>
    <hyperlink ref="F4" location="Rules!A1" display="Rules"/>
    <hyperlink ref="F3" location="MostImproved!A1" display="MostImproved"/>
    <hyperlink ref="F5" location="Notes!A1" display="Notes"/>
    <hyperlink ref="F6" location="'Boats and Owners'!A1" display="BoatsandOwners"/>
    <hyperlink ref="F7" location="CS_Table!A1" display="CS_Table"/>
    <hyperlink ref="C3" location="'2006Season'!A1" display="2006Season"/>
    <hyperlink ref="D3" location="'2005Season'!A1" display="2005Season"/>
    <hyperlink ref="E3" location="'2004Season'!A1" display="2004Season"/>
    <hyperlink ref="C4" location="'2006Spring'!A1" display="2006Spring"/>
    <hyperlink ref="C5" location="'2006RaceWeek'!A1" display="2006RaceWeek"/>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33"/>
  <dimension ref="B2:K31"/>
  <sheetViews>
    <sheetView zoomScalePageLayoutView="0" workbookViewId="0" topLeftCell="A1">
      <selection activeCell="C11" sqref="C11"/>
    </sheetView>
  </sheetViews>
  <sheetFormatPr defaultColWidth="9.140625" defaultRowHeight="12.75"/>
  <cols>
    <col min="1" max="1" width="3.28125" style="3" customWidth="1"/>
    <col min="2" max="2" width="3.7109375" style="3" customWidth="1"/>
    <col min="3" max="3" width="20.7109375" style="3" bestFit="1" customWidth="1"/>
    <col min="4" max="4" width="6.140625" style="3" bestFit="1" customWidth="1"/>
    <col min="5" max="5" width="5.57421875" style="3" bestFit="1" customWidth="1"/>
    <col min="6" max="11" width="7.140625" style="3" bestFit="1" customWidth="1"/>
    <col min="12" max="16384" width="9.140625" style="3" customWidth="1"/>
  </cols>
  <sheetData>
    <row r="2" ht="15.75">
      <c r="B2" s="4" t="s">
        <v>1153</v>
      </c>
    </row>
    <row r="3" spans="2:6" ht="12.75">
      <c r="B3" s="27" t="s">
        <v>1147</v>
      </c>
      <c r="C3" s="27"/>
      <c r="D3" s="27"/>
      <c r="E3" s="27"/>
      <c r="F3" s="27"/>
    </row>
    <row r="4" spans="2:6" ht="12.75">
      <c r="B4" s="27" t="s">
        <v>1148</v>
      </c>
      <c r="C4" s="27"/>
      <c r="D4" s="27"/>
      <c r="E4" s="27"/>
      <c r="F4" s="27"/>
    </row>
    <row r="5" ht="12" customHeight="1"/>
    <row r="6" spans="2:11" ht="12.75">
      <c r="B6" s="303"/>
      <c r="C6" s="276" t="s">
        <v>422</v>
      </c>
      <c r="D6" s="276" t="s">
        <v>390</v>
      </c>
      <c r="E6" s="276" t="s">
        <v>294</v>
      </c>
      <c r="F6" s="276" t="s">
        <v>291</v>
      </c>
      <c r="G6" s="276" t="s">
        <v>292</v>
      </c>
      <c r="H6" s="276" t="s">
        <v>293</v>
      </c>
      <c r="I6" s="276" t="s">
        <v>302</v>
      </c>
      <c r="J6" s="276" t="s">
        <v>355</v>
      </c>
      <c r="K6" s="276" t="s">
        <v>391</v>
      </c>
    </row>
    <row r="7" spans="2:11" ht="12.75">
      <c r="B7" s="304">
        <v>1</v>
      </c>
      <c r="C7" s="39" t="s">
        <v>504</v>
      </c>
      <c r="D7" s="40">
        <v>25</v>
      </c>
      <c r="E7" s="40">
        <f>SUM(F7:K7)-MAX(F7:K7)</f>
        <v>10</v>
      </c>
      <c r="F7" s="40">
        <v>3</v>
      </c>
      <c r="G7" s="40">
        <v>6</v>
      </c>
      <c r="H7" s="40">
        <v>1</v>
      </c>
      <c r="I7" s="40">
        <v>1</v>
      </c>
      <c r="J7" s="40">
        <v>3</v>
      </c>
      <c r="K7" s="40">
        <v>2</v>
      </c>
    </row>
    <row r="8" spans="2:11" ht="12.75">
      <c r="B8" s="304">
        <v>2</v>
      </c>
      <c r="C8" s="39" t="s">
        <v>534</v>
      </c>
      <c r="D8" s="40">
        <v>23</v>
      </c>
      <c r="E8" s="40">
        <f aca="true" t="shared" si="0" ref="E8:E17">SUM(F8:K8)-MAX(F8:K8)</f>
        <v>16</v>
      </c>
      <c r="F8" s="40">
        <v>2</v>
      </c>
      <c r="G8" s="40">
        <v>1</v>
      </c>
      <c r="H8" s="40">
        <v>6</v>
      </c>
      <c r="I8" s="40">
        <v>3</v>
      </c>
      <c r="J8" s="40">
        <v>6</v>
      </c>
      <c r="K8" s="40">
        <v>4</v>
      </c>
    </row>
    <row r="9" spans="2:11" ht="12.75">
      <c r="B9" s="304">
        <v>3</v>
      </c>
      <c r="C9" s="39" t="s">
        <v>1149</v>
      </c>
      <c r="D9" s="40">
        <v>221</v>
      </c>
      <c r="E9" s="40">
        <f t="shared" si="0"/>
        <v>16</v>
      </c>
      <c r="F9" s="40">
        <v>4</v>
      </c>
      <c r="G9" s="40">
        <v>3</v>
      </c>
      <c r="H9" s="40">
        <v>2</v>
      </c>
      <c r="I9" s="40">
        <v>5</v>
      </c>
      <c r="J9" s="40">
        <v>2</v>
      </c>
      <c r="K9" s="40">
        <v>5</v>
      </c>
    </row>
    <row r="10" spans="2:11" ht="12.75">
      <c r="B10" s="304">
        <v>4</v>
      </c>
      <c r="C10" s="39" t="s">
        <v>510</v>
      </c>
      <c r="D10" s="40">
        <v>182</v>
      </c>
      <c r="E10" s="40">
        <f t="shared" si="0"/>
        <v>17</v>
      </c>
      <c r="F10" s="40">
        <v>7</v>
      </c>
      <c r="G10" s="40">
        <v>4</v>
      </c>
      <c r="H10" s="40">
        <v>7</v>
      </c>
      <c r="I10" s="40">
        <v>2</v>
      </c>
      <c r="J10" s="40">
        <v>1</v>
      </c>
      <c r="K10" s="40">
        <v>3</v>
      </c>
    </row>
    <row r="11" spans="2:11" ht="12.75">
      <c r="B11" s="304">
        <v>5</v>
      </c>
      <c r="C11" s="39" t="s">
        <v>1150</v>
      </c>
      <c r="D11" s="40">
        <v>26</v>
      </c>
      <c r="E11" s="40">
        <f t="shared" si="0"/>
        <v>19</v>
      </c>
      <c r="F11" s="40">
        <v>6</v>
      </c>
      <c r="G11" s="40">
        <v>2</v>
      </c>
      <c r="H11" s="40">
        <v>4</v>
      </c>
      <c r="I11" s="40">
        <v>6</v>
      </c>
      <c r="J11" s="40">
        <v>7</v>
      </c>
      <c r="K11" s="40">
        <v>1</v>
      </c>
    </row>
    <row r="12" spans="2:11" ht="12.75">
      <c r="B12" s="304">
        <v>6</v>
      </c>
      <c r="C12" s="39" t="s">
        <v>653</v>
      </c>
      <c r="D12" s="40">
        <v>231</v>
      </c>
      <c r="E12" s="40">
        <f t="shared" si="0"/>
        <v>32</v>
      </c>
      <c r="F12" s="40">
        <v>5</v>
      </c>
      <c r="G12" s="40">
        <v>7</v>
      </c>
      <c r="H12" s="40">
        <v>8</v>
      </c>
      <c r="I12" s="40">
        <v>4</v>
      </c>
      <c r="J12" s="40">
        <v>8</v>
      </c>
      <c r="K12" s="40">
        <v>9</v>
      </c>
    </row>
    <row r="13" spans="2:11" ht="12.75">
      <c r="B13" s="304">
        <v>7</v>
      </c>
      <c r="C13" s="39" t="s">
        <v>1151</v>
      </c>
      <c r="D13" s="40">
        <v>117</v>
      </c>
      <c r="E13" s="40">
        <f t="shared" si="0"/>
        <v>34</v>
      </c>
      <c r="F13" s="40">
        <v>9</v>
      </c>
      <c r="G13" s="40">
        <v>9</v>
      </c>
      <c r="H13" s="40">
        <v>5</v>
      </c>
      <c r="I13" s="40">
        <v>8</v>
      </c>
      <c r="J13" s="40">
        <v>4</v>
      </c>
      <c r="K13" s="40">
        <v>8</v>
      </c>
    </row>
    <row r="14" spans="2:11" ht="12.75">
      <c r="B14" s="304">
        <v>8</v>
      </c>
      <c r="C14" s="39" t="s">
        <v>507</v>
      </c>
      <c r="D14" s="40">
        <v>142</v>
      </c>
      <c r="E14" s="40">
        <f t="shared" si="0"/>
        <v>37</v>
      </c>
      <c r="F14" s="40">
        <v>8</v>
      </c>
      <c r="G14" s="40">
        <v>8</v>
      </c>
      <c r="H14" s="40">
        <v>10</v>
      </c>
      <c r="I14" s="40">
        <v>11</v>
      </c>
      <c r="J14" s="40">
        <v>5</v>
      </c>
      <c r="K14" s="40">
        <v>6</v>
      </c>
    </row>
    <row r="15" spans="2:11" ht="12.75">
      <c r="B15" s="304">
        <v>9</v>
      </c>
      <c r="C15" s="39" t="s">
        <v>509</v>
      </c>
      <c r="D15" s="40">
        <v>197</v>
      </c>
      <c r="E15" s="40">
        <v>39</v>
      </c>
      <c r="F15" s="40">
        <v>1</v>
      </c>
      <c r="G15" s="40">
        <v>10</v>
      </c>
      <c r="H15" s="40">
        <v>11</v>
      </c>
      <c r="I15" s="40" t="s">
        <v>361</v>
      </c>
      <c r="J15" s="40">
        <v>10</v>
      </c>
      <c r="K15" s="40">
        <v>7</v>
      </c>
    </row>
    <row r="16" spans="2:11" ht="12.75">
      <c r="B16" s="304">
        <v>10</v>
      </c>
      <c r="C16" s="39" t="s">
        <v>536</v>
      </c>
      <c r="D16" s="40">
        <v>49</v>
      </c>
      <c r="E16" s="40">
        <v>41</v>
      </c>
      <c r="F16" s="40">
        <v>11</v>
      </c>
      <c r="G16" s="40">
        <v>5</v>
      </c>
      <c r="H16" s="40">
        <v>3</v>
      </c>
      <c r="I16" s="40">
        <v>9</v>
      </c>
      <c r="J16" s="40" t="s">
        <v>361</v>
      </c>
      <c r="K16" s="40" t="s">
        <v>361</v>
      </c>
    </row>
    <row r="17" spans="2:11" ht="12.75">
      <c r="B17" s="304">
        <v>11</v>
      </c>
      <c r="C17" s="39" t="s">
        <v>1096</v>
      </c>
      <c r="D17" s="40">
        <v>106</v>
      </c>
      <c r="E17" s="40">
        <f t="shared" si="0"/>
        <v>50</v>
      </c>
      <c r="F17" s="40">
        <v>12</v>
      </c>
      <c r="G17" s="40">
        <v>12</v>
      </c>
      <c r="H17" s="40">
        <v>12</v>
      </c>
      <c r="I17" s="40">
        <v>7</v>
      </c>
      <c r="J17" s="40">
        <v>9</v>
      </c>
      <c r="K17" s="40">
        <v>10</v>
      </c>
    </row>
    <row r="18" spans="2:11" ht="12.75">
      <c r="B18" s="304">
        <v>12</v>
      </c>
      <c r="C18" s="60" t="s">
        <v>1152</v>
      </c>
      <c r="D18" s="50">
        <v>183</v>
      </c>
      <c r="E18" s="50">
        <v>53</v>
      </c>
      <c r="F18" s="50">
        <v>10</v>
      </c>
      <c r="G18" s="50">
        <v>11</v>
      </c>
      <c r="H18" s="50">
        <v>9</v>
      </c>
      <c r="I18" s="50">
        <v>10</v>
      </c>
      <c r="J18" s="50" t="s">
        <v>361</v>
      </c>
      <c r="K18" s="50" t="s">
        <v>361</v>
      </c>
    </row>
    <row r="20" ht="12.75">
      <c r="B20" s="27" t="s">
        <v>871</v>
      </c>
    </row>
    <row r="21" ht="12.75">
      <c r="B21" s="75" t="s">
        <v>1154</v>
      </c>
    </row>
    <row r="24" ht="12.75">
      <c r="B24" s="299"/>
    </row>
    <row r="26" ht="12.75">
      <c r="D26" s="300"/>
    </row>
    <row r="31" ht="12.75">
      <c r="D31" s="299"/>
    </row>
  </sheetData>
  <sheetProtection/>
  <hyperlinks>
    <hyperlink ref="B21" r:id="rId1" display="http://www.larchmontyc.org/racing/documents/ShieldsDistricts07Results_000.pdf"/>
  </hyperlinks>
  <printOptions/>
  <pageMargins left="0.75" right="0.75" top="1" bottom="1" header="0.5" footer="0.5"/>
  <pageSetup orientation="portrait" r:id="rId2"/>
</worksheet>
</file>

<file path=xl/worksheets/sheet11.xml><?xml version="1.0" encoding="utf-8"?>
<worksheet xmlns="http://schemas.openxmlformats.org/spreadsheetml/2006/main" xmlns:r="http://schemas.openxmlformats.org/officeDocument/2006/relationships">
  <sheetPr codeName="Sheet32"/>
  <dimension ref="A1:L27"/>
  <sheetViews>
    <sheetView zoomScalePageLayoutView="0" workbookViewId="0" topLeftCell="E1">
      <selection activeCell="D32" sqref="D32"/>
    </sheetView>
  </sheetViews>
  <sheetFormatPr defaultColWidth="9.140625" defaultRowHeight="12.75"/>
  <cols>
    <col min="1" max="1" width="4.8515625" style="3" customWidth="1"/>
    <col min="2" max="3" width="9.140625" style="11" customWidth="1"/>
    <col min="4" max="4" width="43.00390625" style="3" bestFit="1" customWidth="1"/>
    <col min="5" max="9" width="8.140625" style="11" customWidth="1"/>
    <col min="10" max="16384" width="9.140625" style="3" customWidth="1"/>
  </cols>
  <sheetData>
    <row r="1" spans="1:12" ht="12.75">
      <c r="A1" s="144"/>
      <c r="B1" s="143"/>
      <c r="C1" s="143"/>
      <c r="D1" s="144"/>
      <c r="E1" s="143"/>
      <c r="F1" s="143"/>
      <c r="G1" s="143"/>
      <c r="H1" s="143"/>
      <c r="I1" s="143"/>
      <c r="J1" s="144"/>
      <c r="K1" s="144"/>
      <c r="L1" s="144"/>
    </row>
    <row r="2" spans="1:12" ht="15.75">
      <c r="A2" s="144"/>
      <c r="B2" s="21" t="s">
        <v>785</v>
      </c>
      <c r="C2" s="21"/>
      <c r="D2" s="144"/>
      <c r="E2" s="143"/>
      <c r="F2" s="143"/>
      <c r="G2" s="143"/>
      <c r="H2" s="143"/>
      <c r="I2" s="143"/>
      <c r="J2" s="144"/>
      <c r="K2" s="144"/>
      <c r="L2" s="144"/>
    </row>
    <row r="3" spans="1:12" ht="15">
      <c r="A3" s="144"/>
      <c r="B3" s="251" t="s">
        <v>786</v>
      </c>
      <c r="C3" s="252"/>
      <c r="D3" s="144"/>
      <c r="E3" s="143"/>
      <c r="F3" s="143"/>
      <c r="G3" s="143"/>
      <c r="H3" s="143"/>
      <c r="I3" s="143"/>
      <c r="J3" s="144"/>
      <c r="K3" s="144"/>
      <c r="L3" s="144"/>
    </row>
    <row r="4" spans="1:12" ht="12.75">
      <c r="A4" s="144"/>
      <c r="B4" s="253" t="s">
        <v>1146</v>
      </c>
      <c r="C4" s="145"/>
      <c r="D4" s="144"/>
      <c r="E4" s="143"/>
      <c r="F4" s="143"/>
      <c r="G4" s="143"/>
      <c r="H4" s="143"/>
      <c r="I4" s="143"/>
      <c r="J4" s="144"/>
      <c r="K4" s="144"/>
      <c r="L4" s="144"/>
    </row>
    <row r="5" spans="1:12" ht="12.75">
      <c r="A5" s="144"/>
      <c r="B5" s="145"/>
      <c r="C5" s="145"/>
      <c r="D5" s="144"/>
      <c r="E5" s="143"/>
      <c r="F5" s="143"/>
      <c r="G5" s="143"/>
      <c r="H5" s="143"/>
      <c r="I5" s="143"/>
      <c r="J5" s="144"/>
      <c r="K5" s="144"/>
      <c r="L5" s="144"/>
    </row>
    <row r="6" spans="1:12" ht="12.75" customHeight="1">
      <c r="A6" s="144"/>
      <c r="B6" s="142" t="s">
        <v>783</v>
      </c>
      <c r="C6" s="145"/>
      <c r="D6" s="144"/>
      <c r="E6" s="143"/>
      <c r="F6" s="143"/>
      <c r="G6" s="143"/>
      <c r="H6" s="143"/>
      <c r="I6" s="143"/>
      <c r="J6" s="144"/>
      <c r="K6" s="144"/>
      <c r="L6" s="144"/>
    </row>
    <row r="7" spans="1:12" ht="12.75" customHeight="1">
      <c r="A7" s="144"/>
      <c r="B7" s="143"/>
      <c r="C7" s="143"/>
      <c r="D7" s="144"/>
      <c r="E7" s="143"/>
      <c r="F7" s="143"/>
      <c r="G7" s="143"/>
      <c r="H7" s="143"/>
      <c r="I7" s="143"/>
      <c r="J7" s="144"/>
      <c r="K7" s="144"/>
      <c r="L7" s="144"/>
    </row>
    <row r="8" spans="1:12" ht="12.75">
      <c r="A8" s="144"/>
      <c r="B8" s="298" t="s">
        <v>351</v>
      </c>
      <c r="C8" s="237" t="s">
        <v>451</v>
      </c>
      <c r="D8" s="237" t="s">
        <v>780</v>
      </c>
      <c r="E8" s="237" t="s">
        <v>291</v>
      </c>
      <c r="F8" s="237" t="s">
        <v>292</v>
      </c>
      <c r="G8" s="237" t="s">
        <v>293</v>
      </c>
      <c r="H8" s="237" t="s">
        <v>302</v>
      </c>
      <c r="I8" s="237" t="s">
        <v>294</v>
      </c>
      <c r="J8" s="144"/>
      <c r="K8" s="144"/>
      <c r="L8" s="144"/>
    </row>
    <row r="9" spans="1:12" ht="12.75">
      <c r="A9" s="144"/>
      <c r="B9" s="238">
        <v>1</v>
      </c>
      <c r="C9" s="154">
        <v>23</v>
      </c>
      <c r="D9" s="239" t="s">
        <v>1137</v>
      </c>
      <c r="E9" s="80">
        <v>1</v>
      </c>
      <c r="F9" s="80">
        <v>3</v>
      </c>
      <c r="G9" s="80">
        <v>1</v>
      </c>
      <c r="H9" s="80">
        <v>2</v>
      </c>
      <c r="I9" s="81">
        <f aca="true" t="shared" si="0" ref="I9:I14">SUM(E9:H9)</f>
        <v>7</v>
      </c>
      <c r="J9" s="144"/>
      <c r="K9" s="144"/>
      <c r="L9" s="144"/>
    </row>
    <row r="10" spans="1:12" ht="12.75">
      <c r="A10" s="144"/>
      <c r="B10" s="238">
        <v>2</v>
      </c>
      <c r="C10" s="154">
        <v>221</v>
      </c>
      <c r="D10" s="239" t="s">
        <v>533</v>
      </c>
      <c r="E10" s="80">
        <v>2</v>
      </c>
      <c r="F10" s="80">
        <v>1</v>
      </c>
      <c r="G10" s="80">
        <v>5</v>
      </c>
      <c r="H10" s="80">
        <v>3</v>
      </c>
      <c r="I10" s="81">
        <f t="shared" si="0"/>
        <v>11</v>
      </c>
      <c r="J10" s="144"/>
      <c r="K10" s="144"/>
      <c r="L10" s="144"/>
    </row>
    <row r="11" spans="1:12" ht="12.75">
      <c r="A11" s="144"/>
      <c r="B11" s="238">
        <v>3</v>
      </c>
      <c r="C11" s="154">
        <v>231</v>
      </c>
      <c r="D11" s="239" t="s">
        <v>1138</v>
      </c>
      <c r="E11" s="80">
        <v>4</v>
      </c>
      <c r="F11" s="80">
        <v>4</v>
      </c>
      <c r="G11" s="80">
        <v>6</v>
      </c>
      <c r="H11" s="80">
        <v>1</v>
      </c>
      <c r="I11" s="81">
        <f t="shared" si="0"/>
        <v>15</v>
      </c>
      <c r="J11" s="144"/>
      <c r="K11" s="144"/>
      <c r="L11" s="144"/>
    </row>
    <row r="12" spans="1:12" ht="12.75">
      <c r="A12" s="144"/>
      <c r="B12" s="238">
        <v>4</v>
      </c>
      <c r="C12" s="154">
        <v>25</v>
      </c>
      <c r="D12" s="239" t="s">
        <v>600</v>
      </c>
      <c r="E12" s="80">
        <v>6</v>
      </c>
      <c r="F12" s="80">
        <v>7</v>
      </c>
      <c r="G12" s="80">
        <v>2</v>
      </c>
      <c r="H12" s="80">
        <v>6</v>
      </c>
      <c r="I12" s="81">
        <f t="shared" si="0"/>
        <v>21</v>
      </c>
      <c r="J12" s="144"/>
      <c r="K12" s="144"/>
      <c r="L12" s="144"/>
    </row>
    <row r="13" spans="1:12" ht="12.75">
      <c r="A13" s="144"/>
      <c r="B13" s="238">
        <v>5</v>
      </c>
      <c r="C13" s="154">
        <v>49</v>
      </c>
      <c r="D13" s="239" t="s">
        <v>1139</v>
      </c>
      <c r="E13" s="80">
        <v>8</v>
      </c>
      <c r="F13" s="80">
        <v>6</v>
      </c>
      <c r="G13" s="80">
        <v>3</v>
      </c>
      <c r="H13" s="80">
        <v>5</v>
      </c>
      <c r="I13" s="81">
        <f t="shared" si="0"/>
        <v>22</v>
      </c>
      <c r="J13" s="144"/>
      <c r="K13" s="144"/>
      <c r="L13" s="144"/>
    </row>
    <row r="14" spans="1:12" ht="12.75">
      <c r="A14" s="144"/>
      <c r="B14" s="238">
        <v>6</v>
      </c>
      <c r="C14" s="154">
        <v>117</v>
      </c>
      <c r="D14" s="239" t="s">
        <v>1140</v>
      </c>
      <c r="E14" s="80">
        <v>10</v>
      </c>
      <c r="F14" s="80">
        <v>5</v>
      </c>
      <c r="G14" s="80">
        <v>7</v>
      </c>
      <c r="H14" s="80">
        <v>7</v>
      </c>
      <c r="I14" s="81">
        <f t="shared" si="0"/>
        <v>29</v>
      </c>
      <c r="J14" s="144"/>
      <c r="K14" s="144"/>
      <c r="L14" s="144"/>
    </row>
    <row r="15" spans="1:12" ht="12.75">
      <c r="A15" s="144"/>
      <c r="B15" s="238">
        <v>7</v>
      </c>
      <c r="C15" s="154">
        <v>26</v>
      </c>
      <c r="D15" s="239" t="s">
        <v>1141</v>
      </c>
      <c r="E15" s="80">
        <v>3</v>
      </c>
      <c r="F15" s="80">
        <v>2</v>
      </c>
      <c r="G15" s="80" t="s">
        <v>361</v>
      </c>
      <c r="H15" s="80" t="s">
        <v>361</v>
      </c>
      <c r="I15" s="81">
        <v>33</v>
      </c>
      <c r="J15" s="144"/>
      <c r="K15" s="144"/>
      <c r="L15" s="144"/>
    </row>
    <row r="16" spans="1:12" ht="12.75">
      <c r="A16" s="144"/>
      <c r="B16" s="238">
        <v>8</v>
      </c>
      <c r="C16" s="154">
        <v>176</v>
      </c>
      <c r="D16" s="239" t="s">
        <v>406</v>
      </c>
      <c r="E16" s="80" t="s">
        <v>361</v>
      </c>
      <c r="F16" s="80" t="s">
        <v>361</v>
      </c>
      <c r="G16" s="80">
        <v>4</v>
      </c>
      <c r="H16" s="80">
        <v>4</v>
      </c>
      <c r="I16" s="81">
        <v>36</v>
      </c>
      <c r="J16" s="144"/>
      <c r="K16" s="144"/>
      <c r="L16" s="144"/>
    </row>
    <row r="17" spans="1:12" ht="12.75">
      <c r="A17" s="144"/>
      <c r="B17" s="238">
        <v>9</v>
      </c>
      <c r="C17" s="154">
        <v>197</v>
      </c>
      <c r="D17" s="239" t="s">
        <v>509</v>
      </c>
      <c r="E17" s="80">
        <v>7</v>
      </c>
      <c r="F17" s="80">
        <v>9</v>
      </c>
      <c r="G17" s="80" t="s">
        <v>361</v>
      </c>
      <c r="H17" s="80" t="s">
        <v>361</v>
      </c>
      <c r="I17" s="81">
        <v>44</v>
      </c>
      <c r="J17" s="144"/>
      <c r="K17" s="144"/>
      <c r="L17" s="144"/>
    </row>
    <row r="18" spans="1:12" ht="12.75">
      <c r="A18" s="144"/>
      <c r="B18" s="238">
        <v>10</v>
      </c>
      <c r="C18" s="154">
        <v>16</v>
      </c>
      <c r="D18" s="239" t="s">
        <v>1142</v>
      </c>
      <c r="E18" s="80">
        <v>9</v>
      </c>
      <c r="F18" s="80">
        <v>8</v>
      </c>
      <c r="G18" s="80" t="s">
        <v>361</v>
      </c>
      <c r="H18" s="80" t="s">
        <v>361</v>
      </c>
      <c r="I18" s="81">
        <v>45</v>
      </c>
      <c r="J18" s="144"/>
      <c r="K18" s="144"/>
      <c r="L18" s="144"/>
    </row>
    <row r="19" spans="1:12" ht="12.75">
      <c r="A19" s="144"/>
      <c r="B19" s="238">
        <v>11</v>
      </c>
      <c r="C19" s="154">
        <v>41</v>
      </c>
      <c r="D19" s="239" t="s">
        <v>1143</v>
      </c>
      <c r="E19" s="80">
        <v>5</v>
      </c>
      <c r="F19" s="80" t="s">
        <v>361</v>
      </c>
      <c r="G19" s="80" t="s">
        <v>361</v>
      </c>
      <c r="H19" s="80" t="s">
        <v>361</v>
      </c>
      <c r="I19" s="81">
        <v>47</v>
      </c>
      <c r="J19" s="144"/>
      <c r="K19" s="144"/>
      <c r="L19" s="144"/>
    </row>
    <row r="20" spans="1:12" ht="12.75">
      <c r="A20" s="144"/>
      <c r="B20" s="238">
        <v>12</v>
      </c>
      <c r="C20" s="154">
        <v>5</v>
      </c>
      <c r="D20" s="239" t="s">
        <v>1144</v>
      </c>
      <c r="E20" s="80">
        <v>12</v>
      </c>
      <c r="F20" s="80" t="s">
        <v>361</v>
      </c>
      <c r="G20" s="80">
        <v>8</v>
      </c>
      <c r="H20" s="80" t="s">
        <v>361</v>
      </c>
      <c r="I20" s="81">
        <v>48</v>
      </c>
      <c r="J20" s="144"/>
      <c r="K20" s="144"/>
      <c r="L20" s="144"/>
    </row>
    <row r="21" spans="1:12" ht="12.75">
      <c r="A21" s="144"/>
      <c r="B21" s="240">
        <v>13</v>
      </c>
      <c r="C21" s="156">
        <v>106</v>
      </c>
      <c r="D21" s="241" t="s">
        <v>1096</v>
      </c>
      <c r="E21" s="82">
        <v>11</v>
      </c>
      <c r="F21" s="82" t="s">
        <v>361</v>
      </c>
      <c r="G21" s="82" t="s">
        <v>361</v>
      </c>
      <c r="H21" s="82" t="s">
        <v>361</v>
      </c>
      <c r="I21" s="83">
        <v>53</v>
      </c>
      <c r="J21" s="144"/>
      <c r="K21" s="144"/>
      <c r="L21" s="144"/>
    </row>
    <row r="22" spans="1:12" ht="12.75">
      <c r="A22" s="144"/>
      <c r="B22" s="143"/>
      <c r="C22" s="143"/>
      <c r="D22" s="144"/>
      <c r="E22" s="143"/>
      <c r="F22" s="143"/>
      <c r="G22" s="143"/>
      <c r="H22" s="143"/>
      <c r="I22" s="143"/>
      <c r="J22" s="144"/>
      <c r="K22" s="144"/>
      <c r="L22" s="144"/>
    </row>
    <row r="23" spans="1:12" ht="12.75">
      <c r="A23" s="144"/>
      <c r="B23" s="145" t="s">
        <v>778</v>
      </c>
      <c r="C23" s="143"/>
      <c r="D23" s="144"/>
      <c r="E23" s="143"/>
      <c r="F23" s="143"/>
      <c r="G23" s="143"/>
      <c r="H23" s="143"/>
      <c r="I23" s="143"/>
      <c r="J23" s="144"/>
      <c r="K23" s="144"/>
      <c r="L23" s="144"/>
    </row>
    <row r="24" spans="1:12" ht="12.75">
      <c r="A24" s="144"/>
      <c r="B24" s="45" t="s">
        <v>1145</v>
      </c>
      <c r="C24" s="143"/>
      <c r="D24" s="144"/>
      <c r="E24" s="143"/>
      <c r="F24" s="143"/>
      <c r="G24" s="143"/>
      <c r="H24" s="143"/>
      <c r="I24" s="143"/>
      <c r="J24" s="144"/>
      <c r="K24" s="144"/>
      <c r="L24" s="144"/>
    </row>
    <row r="25" spans="1:12" ht="12.75">
      <c r="A25" s="144"/>
      <c r="B25" s="143"/>
      <c r="C25" s="143"/>
      <c r="D25" s="144"/>
      <c r="E25" s="143"/>
      <c r="F25" s="143"/>
      <c r="G25" s="143"/>
      <c r="H25" s="143"/>
      <c r="I25" s="143"/>
      <c r="J25" s="144"/>
      <c r="K25" s="144"/>
      <c r="L25" s="144"/>
    </row>
    <row r="26" spans="1:12" ht="12.75">
      <c r="A26" s="144"/>
      <c r="B26" s="143"/>
      <c r="C26" s="143"/>
      <c r="D26" s="144" t="s">
        <v>191</v>
      </c>
      <c r="E26" s="143"/>
      <c r="F26" s="143"/>
      <c r="G26" s="143"/>
      <c r="H26" s="143"/>
      <c r="I26" s="143"/>
      <c r="J26" s="144"/>
      <c r="K26" s="144"/>
      <c r="L26" s="144"/>
    </row>
    <row r="27" spans="1:12" ht="12.75">
      <c r="A27" s="144"/>
      <c r="B27" s="143"/>
      <c r="C27" s="143"/>
      <c r="D27" s="144" t="s">
        <v>191</v>
      </c>
      <c r="E27" s="143"/>
      <c r="F27" s="143"/>
      <c r="G27" s="143"/>
      <c r="H27" s="143"/>
      <c r="I27" s="143"/>
      <c r="J27" s="144"/>
      <c r="K27" s="144"/>
      <c r="L27" s="144"/>
    </row>
  </sheetData>
  <sheetProtection/>
  <hyperlinks>
    <hyperlink ref="B24" r:id="rId1" display="http://www.larchmontyc.org/racing/documents/MemDay07_OneDesign_Overall_001.pdf"/>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55"/>
  <dimension ref="A2:R27"/>
  <sheetViews>
    <sheetView zoomScalePageLayoutView="0" workbookViewId="0" topLeftCell="A1">
      <selection activeCell="D5" sqref="D5"/>
    </sheetView>
  </sheetViews>
  <sheetFormatPr defaultColWidth="9.140625" defaultRowHeight="12.75"/>
  <cols>
    <col min="1" max="1" width="2.57421875" style="267" customWidth="1"/>
    <col min="2" max="2" width="5.28125" style="143" customWidth="1"/>
    <col min="3" max="3" width="5.57421875" style="143" customWidth="1"/>
    <col min="4" max="4" width="23.28125" style="267" bestFit="1" customWidth="1"/>
    <col min="5" max="5" width="8.28125" style="143" bestFit="1" customWidth="1"/>
    <col min="6" max="11" width="7.00390625" style="143" bestFit="1" customWidth="1"/>
    <col min="12" max="15" width="7.00390625" style="143" customWidth="1"/>
    <col min="16" max="16" width="7.140625" style="267" bestFit="1" customWidth="1"/>
    <col min="17" max="17" width="4.00390625" style="143" bestFit="1" customWidth="1"/>
    <col min="18" max="16384" width="9.140625" style="267" customWidth="1"/>
  </cols>
  <sheetData>
    <row r="2" spans="2:17" s="266" customFormat="1" ht="15.75">
      <c r="B2" s="21" t="s">
        <v>393</v>
      </c>
      <c r="C2" s="140"/>
      <c r="E2" s="140"/>
      <c r="F2" s="140"/>
      <c r="G2" s="140"/>
      <c r="H2" s="140"/>
      <c r="I2" s="140"/>
      <c r="J2" s="140"/>
      <c r="K2" s="140"/>
      <c r="L2" s="140"/>
      <c r="M2" s="140"/>
      <c r="N2" s="140"/>
      <c r="O2" s="140"/>
      <c r="Q2" s="140"/>
    </row>
    <row r="3" spans="2:17" s="266" customFormat="1" ht="15.75">
      <c r="B3" s="142" t="s">
        <v>208</v>
      </c>
      <c r="C3" s="140"/>
      <c r="E3" s="140"/>
      <c r="F3" s="140"/>
      <c r="G3" s="140"/>
      <c r="H3" s="140"/>
      <c r="I3" s="140"/>
      <c r="J3" s="140"/>
      <c r="K3" s="140"/>
      <c r="L3" s="140"/>
      <c r="M3" s="140"/>
      <c r="N3" s="140"/>
      <c r="O3" s="140"/>
      <c r="Q3" s="140"/>
    </row>
    <row r="4" ht="12.75" customHeight="1">
      <c r="B4" s="145" t="s">
        <v>484</v>
      </c>
    </row>
    <row r="5" spans="1:17" s="268" customFormat="1" ht="12.75" customHeight="1">
      <c r="A5" s="268" t="s">
        <v>191</v>
      </c>
      <c r="B5" s="79" t="s">
        <v>101</v>
      </c>
      <c r="C5" s="128"/>
      <c r="E5" s="128"/>
      <c r="F5" s="128"/>
      <c r="G5" s="128"/>
      <c r="H5" s="128"/>
      <c r="I5" s="128"/>
      <c r="J5" s="128"/>
      <c r="K5" s="128"/>
      <c r="L5" s="128"/>
      <c r="M5" s="128"/>
      <c r="N5" s="128"/>
      <c r="O5" s="128"/>
      <c r="Q5" s="128"/>
    </row>
    <row r="6" spans="2:17" s="268" customFormat="1" ht="12.75" customHeight="1">
      <c r="B6" s="128"/>
      <c r="C6" s="128"/>
      <c r="E6" s="128"/>
      <c r="F6" s="394">
        <v>39277</v>
      </c>
      <c r="G6" s="396"/>
      <c r="H6" s="394">
        <f>F6+1</f>
        <v>39278</v>
      </c>
      <c r="I6" s="395"/>
      <c r="J6" s="396"/>
      <c r="K6" s="394">
        <f>F6+7</f>
        <v>39284</v>
      </c>
      <c r="L6" s="396"/>
      <c r="M6" s="394">
        <f>H6+7</f>
        <v>39285</v>
      </c>
      <c r="N6" s="395"/>
      <c r="O6" s="396"/>
      <c r="Q6" s="128"/>
    </row>
    <row r="7" spans="2:18" s="268" customFormat="1" ht="11.25">
      <c r="B7" s="84" t="s">
        <v>351</v>
      </c>
      <c r="C7" s="84" t="s">
        <v>390</v>
      </c>
      <c r="D7" s="84" t="s">
        <v>353</v>
      </c>
      <c r="E7" s="84"/>
      <c r="F7" s="84" t="s">
        <v>291</v>
      </c>
      <c r="G7" s="84" t="s">
        <v>292</v>
      </c>
      <c r="H7" s="83" t="s">
        <v>293</v>
      </c>
      <c r="I7" s="83" t="s">
        <v>302</v>
      </c>
      <c r="J7" s="83" t="s">
        <v>355</v>
      </c>
      <c r="K7" s="84" t="s">
        <v>391</v>
      </c>
      <c r="L7" s="84" t="s">
        <v>392</v>
      </c>
      <c r="M7" s="84" t="s">
        <v>394</v>
      </c>
      <c r="N7" s="84" t="s">
        <v>209</v>
      </c>
      <c r="O7" s="84" t="s">
        <v>92</v>
      </c>
      <c r="P7" s="269" t="s">
        <v>294</v>
      </c>
      <c r="Q7" s="84" t="s">
        <v>434</v>
      </c>
      <c r="R7" s="270" t="s">
        <v>892</v>
      </c>
    </row>
    <row r="8" spans="2:18" s="268" customFormat="1" ht="11.25">
      <c r="B8" s="80">
        <v>1</v>
      </c>
      <c r="C8" s="80">
        <v>23</v>
      </c>
      <c r="D8" s="271" t="s">
        <v>198</v>
      </c>
      <c r="E8" s="230" t="s">
        <v>356</v>
      </c>
      <c r="F8" s="81">
        <v>4</v>
      </c>
      <c r="G8" s="81">
        <v>1</v>
      </c>
      <c r="H8" s="81">
        <v>2</v>
      </c>
      <c r="I8" s="81">
        <v>1</v>
      </c>
      <c r="J8" s="81">
        <v>1</v>
      </c>
      <c r="K8" s="80">
        <v>1</v>
      </c>
      <c r="L8" s="80">
        <v>3</v>
      </c>
      <c r="M8" s="80">
        <v>1</v>
      </c>
      <c r="N8" s="80">
        <v>1</v>
      </c>
      <c r="O8" s="80">
        <v>9</v>
      </c>
      <c r="P8" s="81">
        <f aca="true" t="shared" si="0" ref="P8:P24">SUM(F8:O8)+(COUNTA(F8:O8)-COUNT(F8:O8))*($B$24+1)</f>
        <v>24</v>
      </c>
      <c r="Q8" s="81">
        <f aca="true" t="shared" si="1" ref="Q8:Q24">(IF(COUNT(F8:O8)=COUNTA(F8:O8),P8-MAX(F8:O8),P8-MAX($B$8:$B$28)-1))</f>
        <v>15</v>
      </c>
      <c r="R8" s="270">
        <f>Q8+MIN(F8:O8)/100</f>
        <v>15.01</v>
      </c>
    </row>
    <row r="9" spans="2:18" s="268" customFormat="1" ht="11.25">
      <c r="B9" s="80">
        <v>2</v>
      </c>
      <c r="C9" s="80">
        <v>221</v>
      </c>
      <c r="D9" s="271" t="s">
        <v>199</v>
      </c>
      <c r="E9" s="230" t="s">
        <v>356</v>
      </c>
      <c r="F9" s="81">
        <v>5</v>
      </c>
      <c r="G9" s="81">
        <v>3</v>
      </c>
      <c r="H9" s="81">
        <v>5</v>
      </c>
      <c r="I9" s="81">
        <v>2</v>
      </c>
      <c r="J9" s="81">
        <v>3</v>
      </c>
      <c r="K9" s="80">
        <v>5</v>
      </c>
      <c r="L9" s="80">
        <v>2</v>
      </c>
      <c r="M9" s="80">
        <v>4</v>
      </c>
      <c r="N9" s="80">
        <v>2</v>
      </c>
      <c r="O9" s="80">
        <v>7</v>
      </c>
      <c r="P9" s="81">
        <f t="shared" si="0"/>
        <v>38</v>
      </c>
      <c r="Q9" s="81">
        <f t="shared" si="1"/>
        <v>31</v>
      </c>
      <c r="R9" s="270">
        <f>Q9+MIN(F9:O9)/100+0.1</f>
        <v>31.12</v>
      </c>
    </row>
    <row r="10" spans="2:18" s="268" customFormat="1" ht="11.25">
      <c r="B10" s="80">
        <v>3</v>
      </c>
      <c r="C10" s="80">
        <v>231</v>
      </c>
      <c r="D10" s="271" t="s">
        <v>200</v>
      </c>
      <c r="E10" s="230" t="s">
        <v>356</v>
      </c>
      <c r="F10" s="81">
        <v>7</v>
      </c>
      <c r="G10" s="81">
        <v>7</v>
      </c>
      <c r="H10" s="81">
        <v>3</v>
      </c>
      <c r="I10" s="81">
        <v>5</v>
      </c>
      <c r="J10" s="81">
        <v>5</v>
      </c>
      <c r="K10" s="80">
        <v>3</v>
      </c>
      <c r="L10" s="80">
        <v>1</v>
      </c>
      <c r="M10" s="80">
        <v>3</v>
      </c>
      <c r="N10" s="80">
        <v>3</v>
      </c>
      <c r="O10" s="80">
        <v>4</v>
      </c>
      <c r="P10" s="81">
        <f t="shared" si="0"/>
        <v>41</v>
      </c>
      <c r="Q10" s="81">
        <f t="shared" si="1"/>
        <v>34</v>
      </c>
      <c r="R10" s="270">
        <f aca="true" t="shared" si="2" ref="R10:R19">Q10+MIN(F10:O10)/100</f>
        <v>34.01</v>
      </c>
    </row>
    <row r="11" spans="2:18" s="268" customFormat="1" ht="11.25">
      <c r="B11" s="80">
        <v>4</v>
      </c>
      <c r="C11" s="80">
        <v>182</v>
      </c>
      <c r="D11" s="271" t="s">
        <v>510</v>
      </c>
      <c r="E11" s="230" t="s">
        <v>356</v>
      </c>
      <c r="F11" s="81">
        <v>3</v>
      </c>
      <c r="G11" s="81">
        <v>6</v>
      </c>
      <c r="H11" s="81">
        <v>1</v>
      </c>
      <c r="I11" s="81">
        <v>4</v>
      </c>
      <c r="J11" s="81">
        <v>2</v>
      </c>
      <c r="K11" s="80" t="s">
        <v>93</v>
      </c>
      <c r="L11" s="80">
        <v>4</v>
      </c>
      <c r="M11" s="80">
        <v>8</v>
      </c>
      <c r="N11" s="80">
        <v>11</v>
      </c>
      <c r="O11" s="80">
        <v>2</v>
      </c>
      <c r="P11" s="81">
        <f t="shared" si="0"/>
        <v>59</v>
      </c>
      <c r="Q11" s="81">
        <f t="shared" si="1"/>
        <v>41</v>
      </c>
      <c r="R11" s="270">
        <f t="shared" si="2"/>
        <v>41.01</v>
      </c>
    </row>
    <row r="12" spans="2:18" s="268" customFormat="1" ht="11.25">
      <c r="B12" s="80">
        <v>5</v>
      </c>
      <c r="C12" s="80">
        <v>25</v>
      </c>
      <c r="D12" s="271" t="s">
        <v>600</v>
      </c>
      <c r="E12" s="230" t="s">
        <v>356</v>
      </c>
      <c r="F12" s="81">
        <v>2</v>
      </c>
      <c r="G12" s="81">
        <v>2</v>
      </c>
      <c r="H12" s="81">
        <v>8</v>
      </c>
      <c r="I12" s="81">
        <v>3</v>
      </c>
      <c r="J12" s="81">
        <v>6</v>
      </c>
      <c r="K12" s="80" t="s">
        <v>94</v>
      </c>
      <c r="L12" s="80">
        <v>13</v>
      </c>
      <c r="M12" s="80">
        <v>6</v>
      </c>
      <c r="N12" s="80">
        <v>7</v>
      </c>
      <c r="O12" s="80">
        <v>5</v>
      </c>
      <c r="P12" s="81">
        <f t="shared" si="0"/>
        <v>70</v>
      </c>
      <c r="Q12" s="81">
        <f t="shared" si="1"/>
        <v>52</v>
      </c>
      <c r="R12" s="270">
        <f t="shared" si="2"/>
        <v>52.02</v>
      </c>
    </row>
    <row r="13" spans="2:18" s="268" customFormat="1" ht="11.25">
      <c r="B13" s="80">
        <v>6</v>
      </c>
      <c r="C13" s="80">
        <v>49</v>
      </c>
      <c r="D13" s="271" t="s">
        <v>201</v>
      </c>
      <c r="E13" s="230" t="s">
        <v>356</v>
      </c>
      <c r="F13" s="81">
        <v>1</v>
      </c>
      <c r="G13" s="81">
        <v>5</v>
      </c>
      <c r="H13" s="81">
        <v>13</v>
      </c>
      <c r="I13" s="81">
        <v>7</v>
      </c>
      <c r="J13" s="81">
        <v>12</v>
      </c>
      <c r="K13" s="80">
        <v>7</v>
      </c>
      <c r="L13" s="80">
        <v>7</v>
      </c>
      <c r="M13" s="80">
        <v>2</v>
      </c>
      <c r="N13" s="80">
        <v>10</v>
      </c>
      <c r="O13" s="80">
        <v>1</v>
      </c>
      <c r="P13" s="81">
        <f t="shared" si="0"/>
        <v>65</v>
      </c>
      <c r="Q13" s="81">
        <f t="shared" si="1"/>
        <v>52</v>
      </c>
      <c r="R13" s="270">
        <f t="shared" si="2"/>
        <v>52.01</v>
      </c>
    </row>
    <row r="14" spans="2:18" s="268" customFormat="1" ht="11.25">
      <c r="B14" s="80">
        <v>7</v>
      </c>
      <c r="C14" s="80">
        <v>176</v>
      </c>
      <c r="D14" s="271" t="s">
        <v>202</v>
      </c>
      <c r="E14" s="230" t="s">
        <v>356</v>
      </c>
      <c r="F14" s="81">
        <v>6</v>
      </c>
      <c r="G14" s="81">
        <v>11</v>
      </c>
      <c r="H14" s="81">
        <v>9</v>
      </c>
      <c r="I14" s="81">
        <v>10</v>
      </c>
      <c r="J14" s="81">
        <v>10</v>
      </c>
      <c r="K14" s="80">
        <v>4</v>
      </c>
      <c r="L14" s="80">
        <v>8</v>
      </c>
      <c r="M14" s="80">
        <v>7</v>
      </c>
      <c r="N14" s="80">
        <v>4</v>
      </c>
      <c r="O14" s="80">
        <v>3</v>
      </c>
      <c r="P14" s="81">
        <f t="shared" si="0"/>
        <v>72</v>
      </c>
      <c r="Q14" s="81">
        <f t="shared" si="1"/>
        <v>61</v>
      </c>
      <c r="R14" s="270">
        <f t="shared" si="2"/>
        <v>61.03</v>
      </c>
    </row>
    <row r="15" spans="2:18" s="268" customFormat="1" ht="11.25">
      <c r="B15" s="80">
        <v>8</v>
      </c>
      <c r="C15" s="80">
        <v>54</v>
      </c>
      <c r="D15" s="271" t="s">
        <v>1100</v>
      </c>
      <c r="E15" s="230" t="s">
        <v>356</v>
      </c>
      <c r="F15" s="81">
        <v>9</v>
      </c>
      <c r="G15" s="81">
        <v>9</v>
      </c>
      <c r="H15" s="81">
        <v>11</v>
      </c>
      <c r="I15" s="81">
        <v>9</v>
      </c>
      <c r="J15" s="81">
        <v>4</v>
      </c>
      <c r="K15" s="80">
        <v>2</v>
      </c>
      <c r="L15" s="80">
        <v>10</v>
      </c>
      <c r="M15" s="80" t="s">
        <v>97</v>
      </c>
      <c r="N15" s="80">
        <v>6</v>
      </c>
      <c r="O15" s="80">
        <v>6</v>
      </c>
      <c r="P15" s="81">
        <f t="shared" si="0"/>
        <v>84</v>
      </c>
      <c r="Q15" s="81">
        <f t="shared" si="1"/>
        <v>66</v>
      </c>
      <c r="R15" s="270">
        <f t="shared" si="2"/>
        <v>66.02</v>
      </c>
    </row>
    <row r="16" spans="2:18" s="268" customFormat="1" ht="11.25">
      <c r="B16" s="80">
        <v>9</v>
      </c>
      <c r="C16" s="80">
        <v>117</v>
      </c>
      <c r="D16" s="271" t="s">
        <v>1140</v>
      </c>
      <c r="E16" s="230" t="s">
        <v>356</v>
      </c>
      <c r="F16" s="81">
        <v>15</v>
      </c>
      <c r="G16" s="81">
        <v>8</v>
      </c>
      <c r="H16" s="81">
        <v>6</v>
      </c>
      <c r="I16" s="81">
        <v>8</v>
      </c>
      <c r="J16" s="81">
        <v>8</v>
      </c>
      <c r="K16" s="80">
        <v>10</v>
      </c>
      <c r="L16" s="80">
        <v>11</v>
      </c>
      <c r="M16" s="80">
        <v>12</v>
      </c>
      <c r="N16" s="80">
        <v>8</v>
      </c>
      <c r="O16" s="80">
        <v>11</v>
      </c>
      <c r="P16" s="81">
        <f t="shared" si="0"/>
        <v>97</v>
      </c>
      <c r="Q16" s="81">
        <f t="shared" si="1"/>
        <v>82</v>
      </c>
      <c r="R16" s="270">
        <f t="shared" si="2"/>
        <v>82.06</v>
      </c>
    </row>
    <row r="17" spans="2:18" s="268" customFormat="1" ht="11.25">
      <c r="B17" s="80">
        <v>10</v>
      </c>
      <c r="C17" s="80">
        <v>197</v>
      </c>
      <c r="D17" s="271" t="s">
        <v>206</v>
      </c>
      <c r="E17" s="230" t="s">
        <v>356</v>
      </c>
      <c r="F17" s="81">
        <v>13</v>
      </c>
      <c r="G17" s="81">
        <v>14</v>
      </c>
      <c r="H17" s="81">
        <v>12</v>
      </c>
      <c r="I17" s="81">
        <v>11</v>
      </c>
      <c r="J17" s="81" t="s">
        <v>98</v>
      </c>
      <c r="K17" s="80">
        <v>6</v>
      </c>
      <c r="L17" s="80">
        <v>14</v>
      </c>
      <c r="M17" s="80">
        <v>5</v>
      </c>
      <c r="N17" s="80">
        <v>5</v>
      </c>
      <c r="O17" s="80">
        <v>10</v>
      </c>
      <c r="P17" s="81">
        <f t="shared" si="0"/>
        <v>108</v>
      </c>
      <c r="Q17" s="81">
        <f t="shared" si="1"/>
        <v>90</v>
      </c>
      <c r="R17" s="270">
        <f t="shared" si="2"/>
        <v>90.05</v>
      </c>
    </row>
    <row r="18" spans="2:18" s="268" customFormat="1" ht="11.25">
      <c r="B18" s="80">
        <v>11</v>
      </c>
      <c r="C18" s="80">
        <v>41</v>
      </c>
      <c r="D18" s="271" t="s">
        <v>204</v>
      </c>
      <c r="E18" s="230" t="s">
        <v>356</v>
      </c>
      <c r="F18" s="81">
        <v>11</v>
      </c>
      <c r="G18" s="81" t="s">
        <v>299</v>
      </c>
      <c r="H18" s="81">
        <v>10</v>
      </c>
      <c r="I18" s="81">
        <v>13</v>
      </c>
      <c r="J18" s="81">
        <v>11</v>
      </c>
      <c r="K18" s="80" t="s">
        <v>95</v>
      </c>
      <c r="L18" s="80">
        <v>9</v>
      </c>
      <c r="M18" s="80">
        <v>11</v>
      </c>
      <c r="N18" s="80">
        <v>9</v>
      </c>
      <c r="O18" s="80">
        <v>8</v>
      </c>
      <c r="P18" s="81">
        <f t="shared" si="0"/>
        <v>118</v>
      </c>
      <c r="Q18" s="81">
        <f t="shared" si="1"/>
        <v>100</v>
      </c>
      <c r="R18" s="270">
        <f t="shared" si="2"/>
        <v>100.08</v>
      </c>
    </row>
    <row r="19" spans="2:18" s="268" customFormat="1" ht="11.25">
      <c r="B19" s="80">
        <v>12</v>
      </c>
      <c r="C19" s="80">
        <v>106</v>
      </c>
      <c r="D19" s="271" t="s">
        <v>1096</v>
      </c>
      <c r="E19" s="230" t="s">
        <v>356</v>
      </c>
      <c r="F19" s="81">
        <v>16</v>
      </c>
      <c r="G19" s="81">
        <v>12</v>
      </c>
      <c r="H19" s="81">
        <v>4</v>
      </c>
      <c r="I19" s="81">
        <v>6</v>
      </c>
      <c r="J19" s="81">
        <v>9</v>
      </c>
      <c r="K19" s="80" t="s">
        <v>95</v>
      </c>
      <c r="L19" s="80">
        <v>14</v>
      </c>
      <c r="M19" s="80">
        <v>10</v>
      </c>
      <c r="N19" s="80">
        <v>12</v>
      </c>
      <c r="O19" s="80" t="s">
        <v>96</v>
      </c>
      <c r="P19" s="81">
        <f t="shared" si="0"/>
        <v>119</v>
      </c>
      <c r="Q19" s="81">
        <f t="shared" si="1"/>
        <v>101</v>
      </c>
      <c r="R19" s="270">
        <f t="shared" si="2"/>
        <v>101.04</v>
      </c>
    </row>
    <row r="20" spans="2:18" s="268" customFormat="1" ht="11.25">
      <c r="B20" s="80">
        <v>13</v>
      </c>
      <c r="C20" s="80">
        <v>26</v>
      </c>
      <c r="D20" s="271" t="s">
        <v>205</v>
      </c>
      <c r="E20" s="230" t="s">
        <v>356</v>
      </c>
      <c r="F20" s="81">
        <v>10</v>
      </c>
      <c r="G20" s="81">
        <v>4</v>
      </c>
      <c r="H20" s="81" t="s">
        <v>361</v>
      </c>
      <c r="I20" s="81" t="s">
        <v>361</v>
      </c>
      <c r="J20" s="81" t="s">
        <v>361</v>
      </c>
      <c r="K20" s="80">
        <v>9</v>
      </c>
      <c r="L20" s="80">
        <v>5</v>
      </c>
      <c r="M20" s="80">
        <v>9</v>
      </c>
      <c r="N20" s="80" t="s">
        <v>96</v>
      </c>
      <c r="O20" s="80" t="s">
        <v>96</v>
      </c>
      <c r="P20" s="81">
        <f t="shared" si="0"/>
        <v>127</v>
      </c>
      <c r="Q20" s="81">
        <f t="shared" si="1"/>
        <v>109</v>
      </c>
      <c r="R20" s="270">
        <f>Q20+MIN(F20:O20)/100+0.1</f>
        <v>109.14</v>
      </c>
    </row>
    <row r="21" spans="2:18" s="268" customFormat="1" ht="11.25">
      <c r="B21" s="80">
        <v>14</v>
      </c>
      <c r="C21" s="80">
        <v>142</v>
      </c>
      <c r="D21" s="271" t="s">
        <v>203</v>
      </c>
      <c r="E21" s="230" t="s">
        <v>356</v>
      </c>
      <c r="F21" s="81">
        <v>14</v>
      </c>
      <c r="G21" s="81">
        <v>13</v>
      </c>
      <c r="H21" s="81">
        <v>7</v>
      </c>
      <c r="I21" s="81">
        <v>12</v>
      </c>
      <c r="J21" s="81">
        <v>7</v>
      </c>
      <c r="K21" s="80" t="s">
        <v>96</v>
      </c>
      <c r="L21" s="80" t="s">
        <v>96</v>
      </c>
      <c r="M21" s="80" t="s">
        <v>96</v>
      </c>
      <c r="N21" s="80" t="s">
        <v>96</v>
      </c>
      <c r="O21" s="80" t="s">
        <v>96</v>
      </c>
      <c r="P21" s="81">
        <f t="shared" si="0"/>
        <v>143</v>
      </c>
      <c r="Q21" s="81">
        <f t="shared" si="1"/>
        <v>125</v>
      </c>
      <c r="R21" s="270">
        <f>Q21+MIN(F21:O21)/100</f>
        <v>125.07</v>
      </c>
    </row>
    <row r="22" spans="2:18" s="268" customFormat="1" ht="11.25">
      <c r="B22" s="80">
        <v>15</v>
      </c>
      <c r="C22" s="80">
        <v>183</v>
      </c>
      <c r="D22" s="271" t="s">
        <v>1152</v>
      </c>
      <c r="E22" s="230" t="s">
        <v>356</v>
      </c>
      <c r="F22" s="81">
        <v>8</v>
      </c>
      <c r="G22" s="81">
        <v>10</v>
      </c>
      <c r="H22" s="81">
        <v>15</v>
      </c>
      <c r="I22" s="81" t="s">
        <v>299</v>
      </c>
      <c r="J22" s="81" t="s">
        <v>290</v>
      </c>
      <c r="K22" s="80">
        <v>8</v>
      </c>
      <c r="L22" s="80">
        <v>12</v>
      </c>
      <c r="M22" s="80" t="s">
        <v>99</v>
      </c>
      <c r="N22" s="80" t="s">
        <v>96</v>
      </c>
      <c r="O22" s="80" t="s">
        <v>96</v>
      </c>
      <c r="P22" s="81">
        <f t="shared" si="0"/>
        <v>143</v>
      </c>
      <c r="Q22" s="81">
        <f t="shared" si="1"/>
        <v>125</v>
      </c>
      <c r="R22" s="270">
        <f>Q22+MIN(F22:O22)/100</f>
        <v>125.08</v>
      </c>
    </row>
    <row r="23" spans="2:18" s="268" customFormat="1" ht="11.25">
      <c r="B23" s="80">
        <v>16</v>
      </c>
      <c r="C23" s="80">
        <v>70</v>
      </c>
      <c r="D23" s="271" t="s">
        <v>508</v>
      </c>
      <c r="E23" s="230" t="s">
        <v>356</v>
      </c>
      <c r="F23" s="81">
        <v>12</v>
      </c>
      <c r="G23" s="81">
        <v>15</v>
      </c>
      <c r="H23" s="81">
        <v>14</v>
      </c>
      <c r="I23" s="81">
        <v>14</v>
      </c>
      <c r="J23" s="81" t="s">
        <v>299</v>
      </c>
      <c r="K23" s="80" t="s">
        <v>96</v>
      </c>
      <c r="L23" s="80">
        <v>15</v>
      </c>
      <c r="M23" s="80" t="s">
        <v>96</v>
      </c>
      <c r="N23" s="80" t="s">
        <v>96</v>
      </c>
      <c r="O23" s="80" t="s">
        <v>96</v>
      </c>
      <c r="P23" s="81">
        <f t="shared" si="0"/>
        <v>160</v>
      </c>
      <c r="Q23" s="81">
        <f t="shared" si="1"/>
        <v>142</v>
      </c>
      <c r="R23" s="270"/>
    </row>
    <row r="24" spans="2:18" s="268" customFormat="1" ht="11.25">
      <c r="B24" s="82">
        <v>17</v>
      </c>
      <c r="C24" s="82">
        <v>5</v>
      </c>
      <c r="D24" s="272" t="s">
        <v>207</v>
      </c>
      <c r="E24" s="265" t="s">
        <v>356</v>
      </c>
      <c r="F24" s="83" t="s">
        <v>361</v>
      </c>
      <c r="G24" s="83" t="s">
        <v>361</v>
      </c>
      <c r="H24" s="83" t="s">
        <v>361</v>
      </c>
      <c r="I24" s="83" t="s">
        <v>361</v>
      </c>
      <c r="J24" s="83" t="s">
        <v>361</v>
      </c>
      <c r="K24" s="82" t="s">
        <v>96</v>
      </c>
      <c r="L24" s="82" t="s">
        <v>96</v>
      </c>
      <c r="M24" s="82" t="s">
        <v>96</v>
      </c>
      <c r="N24" s="82" t="s">
        <v>96</v>
      </c>
      <c r="O24" s="82" t="s">
        <v>96</v>
      </c>
      <c r="P24" s="83">
        <f t="shared" si="0"/>
        <v>180</v>
      </c>
      <c r="Q24" s="83">
        <f t="shared" si="1"/>
        <v>162</v>
      </c>
      <c r="R24" s="270"/>
    </row>
    <row r="25" ht="12.75">
      <c r="B25" s="145"/>
    </row>
    <row r="26" ht="12.75">
      <c r="B26" s="145" t="s">
        <v>100</v>
      </c>
    </row>
    <row r="27" ht="12.75">
      <c r="B27" s="320"/>
    </row>
  </sheetData>
  <sheetProtection/>
  <mergeCells count="4">
    <mergeCell ref="M6:O6"/>
    <mergeCell ref="F6:G6"/>
    <mergeCell ref="H6:J6"/>
    <mergeCell ref="K6:L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
  <dimension ref="A1:F80"/>
  <sheetViews>
    <sheetView zoomScalePageLayoutView="0" workbookViewId="0" topLeftCell="A1">
      <selection activeCell="G26" sqref="G26"/>
    </sheetView>
  </sheetViews>
  <sheetFormatPr defaultColWidth="10.8515625" defaultRowHeight="12.75"/>
  <cols>
    <col min="1" max="1" width="6.8515625" style="27" customWidth="1"/>
    <col min="2" max="2" width="4.8515625" style="24" customWidth="1"/>
    <col min="3" max="3" width="37.8515625" style="27" customWidth="1"/>
    <col min="4" max="6" width="10.8515625" style="24" customWidth="1"/>
    <col min="7" max="16384" width="10.8515625" style="27" customWidth="1"/>
  </cols>
  <sheetData>
    <row r="1" ht="11.25">
      <c r="B1" s="23" t="s">
        <v>1134</v>
      </c>
    </row>
    <row r="2" ht="11.25">
      <c r="B2" s="23" t="s">
        <v>752</v>
      </c>
    </row>
    <row r="3" spans="2:6" ht="11.25">
      <c r="B3" s="195">
        <v>2007</v>
      </c>
      <c r="C3" s="49"/>
      <c r="D3" s="375" t="s">
        <v>1127</v>
      </c>
      <c r="E3" s="377"/>
      <c r="F3" s="106"/>
    </row>
    <row r="4" spans="2:6" ht="11.25">
      <c r="B4" s="41" t="s">
        <v>451</v>
      </c>
      <c r="C4" s="104" t="s">
        <v>422</v>
      </c>
      <c r="D4" s="62">
        <v>2007</v>
      </c>
      <c r="E4" s="41">
        <v>2006</v>
      </c>
      <c r="F4" s="276" t="s">
        <v>622</v>
      </c>
    </row>
    <row r="5" spans="1:6" ht="11.25">
      <c r="A5" s="193">
        <v>1</v>
      </c>
      <c r="B5" s="131">
        <v>221</v>
      </c>
      <c r="C5" s="131" t="s">
        <v>407</v>
      </c>
      <c r="D5" s="357">
        <v>0.8644</v>
      </c>
      <c r="E5" s="358">
        <v>0.8019586507072906</v>
      </c>
      <c r="F5" s="359">
        <f aca="true" t="shared" si="0" ref="F5:F16">D5/E5</f>
        <v>1.0778610583446404</v>
      </c>
    </row>
    <row r="6" spans="1:6" ht="11.25">
      <c r="A6" s="193">
        <v>2</v>
      </c>
      <c r="B6" s="93">
        <v>23</v>
      </c>
      <c r="C6" s="93" t="s">
        <v>684</v>
      </c>
      <c r="D6" s="350">
        <v>0.9381</v>
      </c>
      <c r="E6" s="361">
        <v>0.895693135935397</v>
      </c>
      <c r="F6" s="362">
        <f t="shared" si="0"/>
        <v>1.0473453042824945</v>
      </c>
    </row>
    <row r="7" spans="1:6" ht="11.25">
      <c r="A7" s="193">
        <v>3</v>
      </c>
      <c r="B7" s="93">
        <v>26</v>
      </c>
      <c r="C7" s="93" t="s">
        <v>779</v>
      </c>
      <c r="D7" s="350">
        <v>0.8719</v>
      </c>
      <c r="E7" s="361">
        <v>0.8384057971014492</v>
      </c>
      <c r="F7" s="362">
        <f t="shared" si="0"/>
        <v>1.0399498703543648</v>
      </c>
    </row>
    <row r="8" spans="1:6" ht="11.25">
      <c r="A8" s="193">
        <v>4</v>
      </c>
      <c r="B8" s="93">
        <v>106</v>
      </c>
      <c r="C8" s="93" t="s">
        <v>849</v>
      </c>
      <c r="D8" s="350">
        <v>0.6889</v>
      </c>
      <c r="E8" s="361">
        <v>0.6824907521578298</v>
      </c>
      <c r="F8" s="362">
        <f t="shared" si="0"/>
        <v>1.0093909665763323</v>
      </c>
    </row>
    <row r="9" spans="1:6" ht="11.25">
      <c r="A9" s="193">
        <v>5</v>
      </c>
      <c r="B9" s="93">
        <v>117</v>
      </c>
      <c r="C9" s="93" t="s">
        <v>781</v>
      </c>
      <c r="D9" s="350">
        <v>0.7077</v>
      </c>
      <c r="E9" s="361">
        <v>0.7079326923076923</v>
      </c>
      <c r="F9" s="362">
        <f t="shared" si="0"/>
        <v>0.9996713073005093</v>
      </c>
    </row>
    <row r="10" spans="1:6" ht="11.25">
      <c r="A10" s="193">
        <v>6</v>
      </c>
      <c r="B10" s="93">
        <v>176</v>
      </c>
      <c r="C10" s="93" t="s">
        <v>406</v>
      </c>
      <c r="D10" s="350">
        <v>0.8055</v>
      </c>
      <c r="E10" s="361">
        <v>0.8109222050489439</v>
      </c>
      <c r="F10" s="362">
        <f t="shared" si="0"/>
        <v>0.9933135324015248</v>
      </c>
    </row>
    <row r="11" spans="1:6" ht="11.25">
      <c r="A11" s="193">
        <v>7</v>
      </c>
      <c r="B11" s="93">
        <v>182</v>
      </c>
      <c r="C11" s="93" t="s">
        <v>359</v>
      </c>
      <c r="D11" s="350">
        <v>0.8485</v>
      </c>
      <c r="E11" s="361">
        <v>0.8711307643714467</v>
      </c>
      <c r="F11" s="362">
        <f t="shared" si="0"/>
        <v>0.9740213923132705</v>
      </c>
    </row>
    <row r="12" spans="1:6" ht="11.25">
      <c r="A12" s="193">
        <v>8</v>
      </c>
      <c r="B12" s="93">
        <v>142</v>
      </c>
      <c r="C12" s="93" t="s">
        <v>839</v>
      </c>
      <c r="D12" s="350">
        <v>0.75</v>
      </c>
      <c r="E12" s="361">
        <v>0.7842926304464766</v>
      </c>
      <c r="F12" s="362">
        <f t="shared" si="0"/>
        <v>0.956275720164609</v>
      </c>
    </row>
    <row r="13" spans="1:6" ht="11.25">
      <c r="A13" s="193">
        <v>9</v>
      </c>
      <c r="B13" s="93">
        <v>54</v>
      </c>
      <c r="C13" s="93" t="s">
        <v>414</v>
      </c>
      <c r="D13" s="350">
        <v>0.7567</v>
      </c>
      <c r="E13" s="361">
        <v>0.7915632754342432</v>
      </c>
      <c r="F13" s="362">
        <f t="shared" si="0"/>
        <v>0.9559564263322884</v>
      </c>
    </row>
    <row r="14" spans="1:6" ht="11.25">
      <c r="A14" s="193">
        <v>10</v>
      </c>
      <c r="B14" s="93">
        <v>231</v>
      </c>
      <c r="C14" s="231" t="s">
        <v>419</v>
      </c>
      <c r="D14" s="350">
        <v>0.8385</v>
      </c>
      <c r="E14" s="361">
        <v>0.896551724137931</v>
      </c>
      <c r="F14" s="362">
        <f t="shared" si="0"/>
        <v>0.93525</v>
      </c>
    </row>
    <row r="15" spans="1:6" ht="11.25">
      <c r="A15" s="193">
        <v>11</v>
      </c>
      <c r="B15" s="93">
        <v>25</v>
      </c>
      <c r="C15" s="93" t="s">
        <v>357</v>
      </c>
      <c r="D15" s="350">
        <v>0.8647</v>
      </c>
      <c r="E15" s="361">
        <v>0.9384885764499121</v>
      </c>
      <c r="F15" s="362">
        <f t="shared" si="0"/>
        <v>0.9213750936329588</v>
      </c>
    </row>
    <row r="16" spans="1:6" ht="11.25">
      <c r="A16" s="193">
        <v>12</v>
      </c>
      <c r="B16" s="93">
        <v>70</v>
      </c>
      <c r="C16" s="93" t="s">
        <v>837</v>
      </c>
      <c r="D16" s="351">
        <v>0.6867</v>
      </c>
      <c r="E16" s="361">
        <v>0.7658959537572254</v>
      </c>
      <c r="F16" s="362">
        <f t="shared" si="0"/>
        <v>0.8965969811320754</v>
      </c>
    </row>
    <row r="17" spans="1:6" ht="11.25">
      <c r="A17" s="193">
        <v>13</v>
      </c>
      <c r="B17" s="37">
        <v>41</v>
      </c>
      <c r="C17" s="37" t="s">
        <v>1133</v>
      </c>
      <c r="D17" s="354">
        <v>0.7567</v>
      </c>
      <c r="E17" s="349" t="s">
        <v>623</v>
      </c>
      <c r="F17" s="355"/>
    </row>
    <row r="18" spans="1:6" ht="11.25">
      <c r="A18" s="193">
        <v>14</v>
      </c>
      <c r="B18" s="352">
        <v>49</v>
      </c>
      <c r="C18" s="350" t="s">
        <v>526</v>
      </c>
      <c r="D18" s="364">
        <v>0.7978</v>
      </c>
      <c r="E18" s="211" t="s">
        <v>361</v>
      </c>
      <c r="F18" s="356"/>
    </row>
    <row r="19" spans="1:6" ht="11.25">
      <c r="A19" s="27">
        <v>15</v>
      </c>
      <c r="B19" s="353">
        <v>197</v>
      </c>
      <c r="C19" s="60" t="s">
        <v>411</v>
      </c>
      <c r="D19" s="363">
        <v>0.7613</v>
      </c>
      <c r="E19" s="50" t="s">
        <v>361</v>
      </c>
      <c r="F19" s="59"/>
    </row>
    <row r="20" ht="11.25">
      <c r="B20" s="23"/>
    </row>
    <row r="21" spans="2:6" ht="11.25">
      <c r="B21" s="195">
        <v>2006</v>
      </c>
      <c r="C21" s="49"/>
      <c r="D21" s="375" t="s">
        <v>1127</v>
      </c>
      <c r="E21" s="377"/>
      <c r="F21" s="106"/>
    </row>
    <row r="22" spans="2:6" ht="11.25">
      <c r="B22" s="41" t="s">
        <v>451</v>
      </c>
      <c r="C22" s="104" t="s">
        <v>422</v>
      </c>
      <c r="D22" s="62">
        <v>2006</v>
      </c>
      <c r="E22" s="41">
        <v>2005</v>
      </c>
      <c r="F22" s="276" t="s">
        <v>1123</v>
      </c>
    </row>
    <row r="23" spans="1:6" ht="11.25">
      <c r="A23" s="193">
        <v>1</v>
      </c>
      <c r="B23" s="37">
        <v>41</v>
      </c>
      <c r="C23" s="37" t="s">
        <v>417</v>
      </c>
      <c r="D23" s="207">
        <v>0.7593582887700535</v>
      </c>
      <c r="E23" s="207">
        <v>0.7129217059197963</v>
      </c>
      <c r="F23" s="208">
        <f aca="true" t="shared" si="1" ref="F23:F34">D23/E23</f>
        <v>1.0651355996944232</v>
      </c>
    </row>
    <row r="24" spans="1:6" ht="11.25">
      <c r="A24" s="193">
        <v>2</v>
      </c>
      <c r="B24" s="39">
        <v>182</v>
      </c>
      <c r="C24" s="39" t="s">
        <v>359</v>
      </c>
      <c r="D24" s="107">
        <v>0.8711307643714467</v>
      </c>
      <c r="E24" s="107">
        <v>0.8285845588235294</v>
      </c>
      <c r="F24" s="109">
        <f t="shared" si="1"/>
        <v>1.051348055059494</v>
      </c>
    </row>
    <row r="25" spans="1:6" ht="11.25">
      <c r="A25" s="193">
        <v>3</v>
      </c>
      <c r="B25" s="39">
        <v>25</v>
      </c>
      <c r="C25" s="39" t="s">
        <v>357</v>
      </c>
      <c r="D25" s="107">
        <v>0.9384885764499121</v>
      </c>
      <c r="E25" s="107">
        <v>0.8986534372785259</v>
      </c>
      <c r="F25" s="109">
        <f t="shared" si="1"/>
        <v>1.0443275878318816</v>
      </c>
    </row>
    <row r="26" spans="1:6" ht="11.25">
      <c r="A26" s="193">
        <v>4</v>
      </c>
      <c r="B26" s="39">
        <v>117</v>
      </c>
      <c r="C26" s="39" t="s">
        <v>781</v>
      </c>
      <c r="D26" s="107">
        <v>0.7079326923076923</v>
      </c>
      <c r="E26" s="107">
        <v>0.6810273405136703</v>
      </c>
      <c r="F26" s="109">
        <f t="shared" si="1"/>
        <v>1.039507006831368</v>
      </c>
    </row>
    <row r="27" spans="1:6" ht="11.25">
      <c r="A27" s="193">
        <v>5</v>
      </c>
      <c r="B27" s="39">
        <v>142</v>
      </c>
      <c r="C27" s="39" t="s">
        <v>839</v>
      </c>
      <c r="D27" s="107">
        <v>0.7842926304464766</v>
      </c>
      <c r="E27" s="107">
        <v>0.7566628041714948</v>
      </c>
      <c r="F27" s="109">
        <f t="shared" si="1"/>
        <v>1.0365153753067524</v>
      </c>
    </row>
    <row r="28" spans="1:6" ht="11.25">
      <c r="A28" s="193">
        <v>6</v>
      </c>
      <c r="B28" s="39">
        <v>23</v>
      </c>
      <c r="C28" s="39" t="s">
        <v>684</v>
      </c>
      <c r="D28" s="107">
        <v>0.895693135935397</v>
      </c>
      <c r="E28" s="107">
        <v>0.8663145062982528</v>
      </c>
      <c r="F28" s="109">
        <f t="shared" si="1"/>
        <v>1.0339121986571351</v>
      </c>
    </row>
    <row r="29" spans="1:6" ht="11.25">
      <c r="A29" s="193">
        <v>7</v>
      </c>
      <c r="B29" s="39">
        <v>176</v>
      </c>
      <c r="C29" s="39" t="s">
        <v>406</v>
      </c>
      <c r="D29" s="107">
        <v>0.8109222050489439</v>
      </c>
      <c r="E29" s="107">
        <v>0.7888257575757576</v>
      </c>
      <c r="F29" s="109">
        <f t="shared" si="1"/>
        <v>1.0280118229672086</v>
      </c>
    </row>
    <row r="30" spans="1:6" ht="11.25">
      <c r="A30" s="193">
        <v>8</v>
      </c>
      <c r="B30" s="39">
        <v>38</v>
      </c>
      <c r="C30" s="39" t="s">
        <v>782</v>
      </c>
      <c r="D30" s="107">
        <v>0.6712328767123288</v>
      </c>
      <c r="E30" s="107">
        <v>0.6538461538461539</v>
      </c>
      <c r="F30" s="109">
        <f t="shared" si="1"/>
        <v>1.0265914585012088</v>
      </c>
    </row>
    <row r="31" spans="1:6" ht="11.25">
      <c r="A31" s="193">
        <v>9</v>
      </c>
      <c r="B31" s="39">
        <v>70</v>
      </c>
      <c r="C31" s="39" t="s">
        <v>837</v>
      </c>
      <c r="D31" s="107">
        <v>0.7658959537572254</v>
      </c>
      <c r="E31" s="107">
        <v>0.7545612510860121</v>
      </c>
      <c r="F31" s="109">
        <f t="shared" si="1"/>
        <v>1.0150215806270195</v>
      </c>
    </row>
    <row r="32" spans="1:6" ht="11.25">
      <c r="A32" s="193">
        <v>10</v>
      </c>
      <c r="B32" s="39">
        <v>231</v>
      </c>
      <c r="C32" s="39" t="s">
        <v>419</v>
      </c>
      <c r="D32" s="107">
        <v>0.896551724137931</v>
      </c>
      <c r="E32" s="107">
        <v>0.89035350509287</v>
      </c>
      <c r="F32" s="109">
        <f t="shared" si="1"/>
        <v>1.006961525966492</v>
      </c>
    </row>
    <row r="33" spans="1:6" ht="11.25">
      <c r="A33" s="193">
        <v>11</v>
      </c>
      <c r="B33" s="39">
        <v>5</v>
      </c>
      <c r="C33" s="39" t="s">
        <v>831</v>
      </c>
      <c r="D33" s="107">
        <v>0.662020905923345</v>
      </c>
      <c r="E33" s="107">
        <v>0.6578690127077224</v>
      </c>
      <c r="F33" s="109">
        <f t="shared" si="1"/>
        <v>1.006311124457031</v>
      </c>
    </row>
    <row r="34" spans="1:6" ht="11.25">
      <c r="A34" s="193">
        <v>12</v>
      </c>
      <c r="B34" s="60">
        <v>221</v>
      </c>
      <c r="C34" s="60" t="s">
        <v>407</v>
      </c>
      <c r="D34" s="108">
        <v>0.8019586507072906</v>
      </c>
      <c r="E34" s="108">
        <v>0.8571428571428571</v>
      </c>
      <c r="F34" s="110">
        <f t="shared" si="1"/>
        <v>0.9356184258251724</v>
      </c>
    </row>
    <row r="35" spans="1:6" ht="11.25">
      <c r="A35" s="193"/>
      <c r="B35" s="39">
        <v>106</v>
      </c>
      <c r="C35" s="39" t="s">
        <v>849</v>
      </c>
      <c r="D35" s="107">
        <v>0.6824907521578298</v>
      </c>
      <c r="E35" s="211" t="s">
        <v>1126</v>
      </c>
      <c r="F35" s="109"/>
    </row>
    <row r="36" spans="1:6" ht="11.25">
      <c r="A36" s="193"/>
      <c r="B36" s="39">
        <v>26</v>
      </c>
      <c r="C36" s="39" t="s">
        <v>779</v>
      </c>
      <c r="D36" s="107">
        <v>0.8384057971014492</v>
      </c>
      <c r="E36" s="107" t="s">
        <v>728</v>
      </c>
      <c r="F36" s="109"/>
    </row>
    <row r="37" spans="1:6" ht="11.25">
      <c r="A37" s="193"/>
      <c r="B37" s="60">
        <v>54</v>
      </c>
      <c r="C37" s="60" t="s">
        <v>414</v>
      </c>
      <c r="D37" s="108">
        <v>0.7915632754342432</v>
      </c>
      <c r="E37" s="108" t="s">
        <v>728</v>
      </c>
      <c r="F37" s="110"/>
    </row>
    <row r="41" spans="2:6" ht="11.25">
      <c r="B41" s="195">
        <v>2005</v>
      </c>
      <c r="C41" s="49"/>
      <c r="D41" s="375" t="s">
        <v>1127</v>
      </c>
      <c r="E41" s="377"/>
      <c r="F41" s="106"/>
    </row>
    <row r="42" spans="2:6" ht="11.25">
      <c r="B42" s="41" t="s">
        <v>451</v>
      </c>
      <c r="C42" s="104" t="s">
        <v>422</v>
      </c>
      <c r="D42" s="41">
        <v>2005</v>
      </c>
      <c r="E42" s="41">
        <v>2004</v>
      </c>
      <c r="F42" s="194" t="s">
        <v>700</v>
      </c>
    </row>
    <row r="43" spans="1:6" ht="11.25">
      <c r="A43" s="193">
        <v>1</v>
      </c>
      <c r="B43" s="37">
        <v>142</v>
      </c>
      <c r="C43" s="37" t="s">
        <v>410</v>
      </c>
      <c r="D43" s="207">
        <f>VLOOKUP(B43,'2005Season'!$C$11:$G$35,5,FALSE)</f>
        <v>0.7566628041714948</v>
      </c>
      <c r="E43" s="207">
        <v>0.7213504517356157</v>
      </c>
      <c r="F43" s="208">
        <f aca="true" t="shared" si="2" ref="F43:F55">D43/E43</f>
        <v>1.04895311613227</v>
      </c>
    </row>
    <row r="44" spans="1:6" ht="11.25">
      <c r="A44" s="193">
        <v>2</v>
      </c>
      <c r="B44" s="39">
        <v>176</v>
      </c>
      <c r="C44" s="39" t="s">
        <v>527</v>
      </c>
      <c r="D44" s="107">
        <f>VLOOKUP(B44,'2005Season'!$C$11:$G$35,5,FALSE)</f>
        <v>0.7888257575757576</v>
      </c>
      <c r="E44" s="107">
        <v>0.7662141779788839</v>
      </c>
      <c r="F44" s="109">
        <f t="shared" si="2"/>
        <v>1.0295107820329277</v>
      </c>
    </row>
    <row r="45" spans="1:6" ht="11.25">
      <c r="A45" s="193">
        <v>3</v>
      </c>
      <c r="B45" s="39">
        <v>41</v>
      </c>
      <c r="C45" s="39" t="s">
        <v>417</v>
      </c>
      <c r="D45" s="107">
        <f>VLOOKUP(B45,'2005Season'!$C$11:$G$35,5,FALSE)</f>
        <v>0.7129217059197963</v>
      </c>
      <c r="E45" s="107">
        <v>0.7026865671641791</v>
      </c>
      <c r="F45" s="109">
        <f t="shared" si="2"/>
        <v>1.0145657242274078</v>
      </c>
    </row>
    <row r="46" spans="1:6" ht="11.25">
      <c r="A46" s="193">
        <v>4</v>
      </c>
      <c r="B46" s="39">
        <v>25</v>
      </c>
      <c r="C46" s="39" t="s">
        <v>357</v>
      </c>
      <c r="D46" s="107">
        <f>VLOOKUP(B46,'2005Season'!$C$11:$G$35,5,FALSE)</f>
        <v>0.8986534372785259</v>
      </c>
      <c r="E46" s="107">
        <v>0.8939621507960348</v>
      </c>
      <c r="F46" s="109">
        <f t="shared" si="2"/>
        <v>1.0052477462030285</v>
      </c>
    </row>
    <row r="47" spans="1:6" ht="11.25">
      <c r="A47" s="193">
        <v>5</v>
      </c>
      <c r="B47" s="39">
        <v>70</v>
      </c>
      <c r="C47" s="39" t="s">
        <v>409</v>
      </c>
      <c r="D47" s="107">
        <f>VLOOKUP(B47,'2005Season'!$C$11:$G$35,5,FALSE)</f>
        <v>0.7545612510860121</v>
      </c>
      <c r="E47" s="107">
        <v>0.7490713990920347</v>
      </c>
      <c r="F47" s="109">
        <f t="shared" si="2"/>
        <v>1.0073288767941637</v>
      </c>
    </row>
    <row r="48" spans="1:6" ht="11.25">
      <c r="A48" s="193">
        <v>6</v>
      </c>
      <c r="B48" s="39">
        <v>197</v>
      </c>
      <c r="C48" s="39" t="s">
        <v>411</v>
      </c>
      <c r="D48" s="107">
        <f>VLOOKUP(B48,'2005Season'!$C$11:$G$35,5,FALSE)</f>
        <v>0.7021897810218978</v>
      </c>
      <c r="E48" s="107">
        <v>0.7018599562363238</v>
      </c>
      <c r="F48" s="109">
        <f t="shared" si="2"/>
        <v>1.000469929624341</v>
      </c>
    </row>
    <row r="49" spans="1:6" ht="11.25">
      <c r="A49" s="193">
        <v>7</v>
      </c>
      <c r="B49" s="39">
        <v>49</v>
      </c>
      <c r="C49" s="39" t="s">
        <v>526</v>
      </c>
      <c r="D49" s="107">
        <f>VLOOKUP(B49,'2005Season'!$C$11:$G$35,5,FALSE)</f>
        <v>0.8570577724836212</v>
      </c>
      <c r="E49" s="107">
        <v>0.8598912588874947</v>
      </c>
      <c r="F49" s="109">
        <f t="shared" si="2"/>
        <v>0.9967048317161179</v>
      </c>
    </row>
    <row r="50" spans="1:6" ht="11.25">
      <c r="A50" s="193">
        <v>8</v>
      </c>
      <c r="B50" s="39">
        <v>231</v>
      </c>
      <c r="C50" s="39" t="s">
        <v>419</v>
      </c>
      <c r="D50" s="107">
        <f>VLOOKUP(B50,'2005Season'!$C$11:$G$35,5,FALSE)</f>
        <v>0.89035350509287</v>
      </c>
      <c r="E50" s="107">
        <v>0.8996397323726196</v>
      </c>
      <c r="F50" s="109">
        <f t="shared" si="2"/>
        <v>0.9896778377548321</v>
      </c>
    </row>
    <row r="51" spans="1:6" ht="11.25">
      <c r="A51" s="193">
        <v>9</v>
      </c>
      <c r="B51" s="39">
        <v>182</v>
      </c>
      <c r="C51" s="39" t="s">
        <v>359</v>
      </c>
      <c r="D51" s="107">
        <f>VLOOKUP(B51,'2005Season'!$C$11:$G$35,5,FALSE)</f>
        <v>0.8285845588235294</v>
      </c>
      <c r="E51" s="107">
        <v>0.8572127139364303</v>
      </c>
      <c r="F51" s="109">
        <f t="shared" si="2"/>
        <v>0.9666032075265931</v>
      </c>
    </row>
    <row r="52" spans="1:6" ht="11.25">
      <c r="A52" s="193">
        <v>10</v>
      </c>
      <c r="B52" s="39">
        <v>106</v>
      </c>
      <c r="C52" s="39" t="s">
        <v>505</v>
      </c>
      <c r="D52" s="107">
        <f>VLOOKUP(B52,'2005Season'!$C$11:$G$35,5,FALSE)</f>
        <v>0.8443465491923642</v>
      </c>
      <c r="E52" s="107">
        <v>0.8959232613908873</v>
      </c>
      <c r="F52" s="109">
        <f t="shared" si="2"/>
        <v>0.942431774660642</v>
      </c>
    </row>
    <row r="53" spans="1:6" ht="11.25">
      <c r="A53" s="193">
        <v>11</v>
      </c>
      <c r="B53" s="39">
        <v>221</v>
      </c>
      <c r="C53" s="39" t="s">
        <v>407</v>
      </c>
      <c r="D53" s="107">
        <f>VLOOKUP(B53,'2005Season'!$C$11:$G$35,5,FALSE)</f>
        <v>0.8571428571428571</v>
      </c>
      <c r="E53" s="107">
        <v>0.9207708779443254</v>
      </c>
      <c r="F53" s="109">
        <f t="shared" si="2"/>
        <v>0.9308970099667774</v>
      </c>
    </row>
    <row r="54" spans="1:6" ht="11.25">
      <c r="A54" s="193">
        <v>12</v>
      </c>
      <c r="B54" s="39">
        <v>38</v>
      </c>
      <c r="C54" s="39" t="s">
        <v>404</v>
      </c>
      <c r="D54" s="107">
        <f>VLOOKUP(B54,'2005Season'!$C$11:$G$35,5,FALSE)</f>
        <v>0.6538461538461539</v>
      </c>
      <c r="E54" s="107">
        <v>0.7044948820649756</v>
      </c>
      <c r="F54" s="109">
        <f t="shared" si="2"/>
        <v>0.9281063219787161</v>
      </c>
    </row>
    <row r="55" spans="1:6" ht="11.25">
      <c r="A55" s="193">
        <v>13</v>
      </c>
      <c r="B55" s="60">
        <v>117</v>
      </c>
      <c r="C55" s="60" t="s">
        <v>405</v>
      </c>
      <c r="D55" s="108">
        <f>VLOOKUP(B55,'2005Season'!$C$11:$G$35,5,FALSE)</f>
        <v>0.6810273405136703</v>
      </c>
      <c r="E55" s="108">
        <v>0.735909090909091</v>
      </c>
      <c r="F55" s="110">
        <f t="shared" si="2"/>
        <v>0.9254231927918929</v>
      </c>
    </row>
    <row r="56" spans="1:6" ht="11.25">
      <c r="A56" s="193"/>
      <c r="B56" s="39">
        <v>23</v>
      </c>
      <c r="C56" s="39" t="s">
        <v>684</v>
      </c>
      <c r="D56" s="107">
        <f>VLOOKUP(B56,'2005Season'!$C$11:$G$35,5,FALSE)</f>
        <v>0.8663145062982528</v>
      </c>
      <c r="E56" s="211" t="s">
        <v>729</v>
      </c>
      <c r="F56" s="109"/>
    </row>
    <row r="57" spans="1:6" ht="11.25">
      <c r="A57" s="193"/>
      <c r="B57" s="60">
        <v>183</v>
      </c>
      <c r="C57" s="60" t="s">
        <v>418</v>
      </c>
      <c r="D57" s="108">
        <f>VLOOKUP(B57,'2005Season'!$C$11:$G$35,5,FALSE)</f>
        <v>0.7448724362181091</v>
      </c>
      <c r="E57" s="209" t="s">
        <v>728</v>
      </c>
      <c r="F57" s="110"/>
    </row>
    <row r="60" spans="2:6" ht="11.25">
      <c r="B60" s="195">
        <v>2004</v>
      </c>
      <c r="C60" s="49"/>
      <c r="D60" s="375" t="s">
        <v>1127</v>
      </c>
      <c r="E60" s="377"/>
      <c r="F60" s="106"/>
    </row>
    <row r="61" spans="2:6" ht="11.25">
      <c r="B61" s="53"/>
      <c r="C61" s="104" t="s">
        <v>499</v>
      </c>
      <c r="D61" s="41">
        <v>2004</v>
      </c>
      <c r="E61" s="41">
        <v>2003</v>
      </c>
      <c r="F61" s="194" t="s">
        <v>498</v>
      </c>
    </row>
    <row r="62" spans="1:6" ht="11.25">
      <c r="A62" s="193">
        <v>1</v>
      </c>
      <c r="B62" s="39">
        <v>49</v>
      </c>
      <c r="C62" s="39" t="s">
        <v>495</v>
      </c>
      <c r="D62" s="107">
        <v>0.8598912588874947</v>
      </c>
      <c r="E62" s="107">
        <v>0.8203434610303831</v>
      </c>
      <c r="F62" s="109">
        <f aca="true" t="shared" si="3" ref="F62:F71">D62/E62</f>
        <v>1.0482088292718736</v>
      </c>
    </row>
    <row r="63" spans="1:6" ht="11.25">
      <c r="A63" s="193">
        <v>2</v>
      </c>
      <c r="B63" s="39">
        <v>38</v>
      </c>
      <c r="C63" s="39" t="s">
        <v>493</v>
      </c>
      <c r="D63" s="107">
        <v>0.7044948820649756</v>
      </c>
      <c r="E63" s="107">
        <v>0.6783783783783783</v>
      </c>
      <c r="F63" s="109">
        <f t="shared" si="3"/>
        <v>1.038498431729247</v>
      </c>
    </row>
    <row r="64" spans="1:6" ht="11.25">
      <c r="A64" s="193">
        <v>3</v>
      </c>
      <c r="B64" s="39">
        <v>231</v>
      </c>
      <c r="C64" s="39" t="s">
        <v>492</v>
      </c>
      <c r="D64" s="107">
        <v>0.8996397323726196</v>
      </c>
      <c r="E64" s="107">
        <v>0.8877005347593583</v>
      </c>
      <c r="F64" s="109">
        <f t="shared" si="3"/>
        <v>1.013449578034216</v>
      </c>
    </row>
    <row r="65" spans="1:6" ht="11.25">
      <c r="A65" s="193">
        <v>4</v>
      </c>
      <c r="B65" s="39">
        <v>221</v>
      </c>
      <c r="C65" s="39" t="s">
        <v>491</v>
      </c>
      <c r="D65" s="107">
        <v>0.9207708779443254</v>
      </c>
      <c r="E65" s="107">
        <v>0.9244218838127467</v>
      </c>
      <c r="F65" s="109">
        <f t="shared" si="3"/>
        <v>0.9960504982277542</v>
      </c>
    </row>
    <row r="66" spans="1:6" ht="11.25">
      <c r="A66" s="193">
        <v>5</v>
      </c>
      <c r="B66" s="39">
        <v>25</v>
      </c>
      <c r="C66" s="39" t="s">
        <v>490</v>
      </c>
      <c r="D66" s="107">
        <v>0.8939621507960348</v>
      </c>
      <c r="E66" s="107">
        <v>0.9054699946893255</v>
      </c>
      <c r="F66" s="109">
        <f t="shared" si="3"/>
        <v>0.9872907507031868</v>
      </c>
    </row>
    <row r="67" spans="1:6" ht="11.25">
      <c r="A67" s="193">
        <v>6</v>
      </c>
      <c r="B67" s="39">
        <v>142</v>
      </c>
      <c r="C67" s="39" t="s">
        <v>366</v>
      </c>
      <c r="D67" s="107">
        <v>0.7213504517356157</v>
      </c>
      <c r="E67" s="107">
        <v>0.737457379444715</v>
      </c>
      <c r="F67" s="109">
        <f t="shared" si="3"/>
        <v>0.9781588358079387</v>
      </c>
    </row>
    <row r="68" spans="1:6" ht="11.25">
      <c r="A68" s="193">
        <v>7</v>
      </c>
      <c r="B68" s="39">
        <v>182</v>
      </c>
      <c r="C68" s="39" t="s">
        <v>365</v>
      </c>
      <c r="D68" s="107">
        <v>0.8572127139364303</v>
      </c>
      <c r="E68" s="107">
        <v>0.8917306052855924</v>
      </c>
      <c r="F68" s="109">
        <f t="shared" si="3"/>
        <v>0.96129112184267</v>
      </c>
    </row>
    <row r="69" spans="1:6" ht="11.25">
      <c r="A69" s="193">
        <v>8</v>
      </c>
      <c r="B69" s="39">
        <v>197</v>
      </c>
      <c r="C69" s="39" t="s">
        <v>496</v>
      </c>
      <c r="D69" s="107">
        <v>0.7018599562363238</v>
      </c>
      <c r="E69" s="107">
        <v>0.7308823529411764</v>
      </c>
      <c r="F69" s="109">
        <f t="shared" si="3"/>
        <v>0.9602912882106645</v>
      </c>
    </row>
    <row r="70" spans="1:6" ht="11.25">
      <c r="A70" s="193">
        <v>9</v>
      </c>
      <c r="B70" s="39">
        <v>70</v>
      </c>
      <c r="C70" s="39" t="s">
        <v>494</v>
      </c>
      <c r="D70" s="107">
        <v>0.7490713990920347</v>
      </c>
      <c r="E70" s="107">
        <v>0.7913513513513514</v>
      </c>
      <c r="F70" s="109">
        <f t="shared" si="3"/>
        <v>0.946572464699634</v>
      </c>
    </row>
    <row r="71" spans="1:6" ht="11.25">
      <c r="A71" s="27">
        <v>10</v>
      </c>
      <c r="B71" s="60">
        <v>183</v>
      </c>
      <c r="C71" s="60" t="s">
        <v>497</v>
      </c>
      <c r="D71" s="108">
        <v>0.6729411764705883</v>
      </c>
      <c r="E71" s="108">
        <v>0.7227648384673178</v>
      </c>
      <c r="F71" s="110">
        <f t="shared" si="3"/>
        <v>0.9310651828298888</v>
      </c>
    </row>
    <row r="72" spans="1:6" ht="11.25">
      <c r="A72" s="193"/>
      <c r="B72" s="37">
        <v>106</v>
      </c>
      <c r="C72" s="37" t="s">
        <v>318</v>
      </c>
      <c r="D72" s="207">
        <v>0.8959232613908873</v>
      </c>
      <c r="E72" s="207"/>
      <c r="F72" s="208"/>
    </row>
    <row r="73" spans="1:6" ht="11.25">
      <c r="A73" s="193"/>
      <c r="B73" s="39">
        <v>26</v>
      </c>
      <c r="C73" s="39" t="s">
        <v>324</v>
      </c>
      <c r="D73" s="107">
        <v>0.7688622754491018</v>
      </c>
      <c r="E73" s="107"/>
      <c r="F73" s="109"/>
    </row>
    <row r="74" spans="1:6" ht="11.25">
      <c r="A74" s="193"/>
      <c r="B74" s="39">
        <v>54</v>
      </c>
      <c r="C74" s="39" t="s">
        <v>722</v>
      </c>
      <c r="D74" s="107">
        <v>0.767762460233298</v>
      </c>
      <c r="E74" s="107"/>
      <c r="F74" s="109"/>
    </row>
    <row r="75" spans="1:6" ht="11.25">
      <c r="A75" s="193"/>
      <c r="B75" s="39">
        <v>176</v>
      </c>
      <c r="C75" s="39" t="s">
        <v>402</v>
      </c>
      <c r="D75" s="107">
        <v>0.7662141779788839</v>
      </c>
      <c r="E75" s="107"/>
      <c r="F75" s="109"/>
    </row>
    <row r="76" spans="1:6" ht="11.25">
      <c r="A76" s="193"/>
      <c r="B76" s="39">
        <v>117</v>
      </c>
      <c r="C76" s="39" t="s">
        <v>304</v>
      </c>
      <c r="D76" s="107">
        <v>0.735909090909091</v>
      </c>
      <c r="E76" s="107"/>
      <c r="F76" s="109"/>
    </row>
    <row r="77" spans="1:6" ht="11.25">
      <c r="A77" s="193"/>
      <c r="B77" s="39">
        <v>41</v>
      </c>
      <c r="C77" s="39" t="s">
        <v>321</v>
      </c>
      <c r="D77" s="107">
        <v>0.7026865671641791</v>
      </c>
      <c r="E77" s="107"/>
      <c r="F77" s="109"/>
    </row>
    <row r="78" spans="1:6" ht="11.25">
      <c r="A78" s="193"/>
      <c r="B78" s="39">
        <v>16</v>
      </c>
      <c r="C78" s="39" t="s">
        <v>323</v>
      </c>
      <c r="D78" s="107">
        <v>0.6666666666666666</v>
      </c>
      <c r="E78" s="107"/>
      <c r="F78" s="109"/>
    </row>
    <row r="79" spans="1:6" ht="11.25">
      <c r="A79" s="193"/>
      <c r="B79" s="39">
        <v>5</v>
      </c>
      <c r="C79" s="39" t="s">
        <v>724</v>
      </c>
      <c r="D79" s="107">
        <v>0.6161971830985915</v>
      </c>
      <c r="E79" s="107"/>
      <c r="F79" s="109"/>
    </row>
    <row r="80" spans="1:6" ht="11.25">
      <c r="A80" s="193"/>
      <c r="B80" s="60">
        <v>22</v>
      </c>
      <c r="C80" s="60" t="s">
        <v>725</v>
      </c>
      <c r="D80" s="108">
        <v>0</v>
      </c>
      <c r="E80" s="108"/>
      <c r="F80" s="110"/>
    </row>
  </sheetData>
  <sheetProtection/>
  <mergeCells count="4">
    <mergeCell ref="D60:E60"/>
    <mergeCell ref="D41:E41"/>
    <mergeCell ref="D21:E21"/>
    <mergeCell ref="D3:E3"/>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34"/>
  <dimension ref="A1:W30"/>
  <sheetViews>
    <sheetView zoomScalePageLayoutView="0" workbookViewId="0" topLeftCell="A1">
      <selection activeCell="T28" sqref="T28"/>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23" width="5.00390625" style="27" customWidth="1"/>
    <col min="24" max="16384" width="9.140625" style="27" customWidth="1"/>
  </cols>
  <sheetData>
    <row r="1" ht="11.25">
      <c r="A1" s="27" t="s">
        <v>191</v>
      </c>
    </row>
    <row r="2" ht="11.25">
      <c r="D2" s="23" t="s">
        <v>775</v>
      </c>
    </row>
    <row r="4" spans="8:23" ht="11.25">
      <c r="H4" s="28" t="s">
        <v>300</v>
      </c>
      <c r="I4" s="29"/>
      <c r="J4" s="29"/>
      <c r="K4" s="29"/>
      <c r="L4" s="29"/>
      <c r="M4" s="30"/>
      <c r="N4" s="49"/>
      <c r="O4" s="49"/>
      <c r="P4" s="49"/>
      <c r="Q4" s="49"/>
      <c r="R4" s="49"/>
      <c r="S4" s="49"/>
      <c r="T4" s="29"/>
      <c r="U4" s="29"/>
      <c r="V4" s="29"/>
      <c r="W4" s="30"/>
    </row>
    <row r="5" spans="4:23" ht="11.25">
      <c r="D5" s="191"/>
      <c r="H5" s="235" t="s">
        <v>825</v>
      </c>
      <c r="I5" s="376" t="s">
        <v>314</v>
      </c>
      <c r="J5" s="376"/>
      <c r="K5" s="376"/>
      <c r="L5" s="376"/>
      <c r="M5" s="377"/>
      <c r="N5" s="376" t="s">
        <v>548</v>
      </c>
      <c r="O5" s="376"/>
      <c r="P5" s="376"/>
      <c r="Q5" s="376"/>
      <c r="R5" s="376"/>
      <c r="S5" s="377"/>
      <c r="T5" s="375" t="s">
        <v>789</v>
      </c>
      <c r="U5" s="376"/>
      <c r="V5" s="376"/>
      <c r="W5" s="377"/>
    </row>
    <row r="6" spans="3:23" ht="11.25">
      <c r="C6" s="37"/>
      <c r="D6" s="126"/>
      <c r="E6" s="105"/>
      <c r="F6" s="115"/>
      <c r="G6" s="116" t="s">
        <v>184</v>
      </c>
      <c r="H6" s="62" t="s">
        <v>295</v>
      </c>
      <c r="I6" s="41"/>
      <c r="J6" s="41"/>
      <c r="K6" s="41"/>
      <c r="L6" s="41"/>
      <c r="M6" s="41"/>
      <c r="N6" s="41" t="s">
        <v>295</v>
      </c>
      <c r="O6" s="41" t="s">
        <v>295</v>
      </c>
      <c r="P6" s="41" t="s">
        <v>295</v>
      </c>
      <c r="Q6" s="41" t="s">
        <v>295</v>
      </c>
      <c r="R6" s="41" t="s">
        <v>295</v>
      </c>
      <c r="S6" s="41" t="s">
        <v>295</v>
      </c>
      <c r="T6" s="41" t="s">
        <v>295</v>
      </c>
      <c r="U6" s="41" t="s">
        <v>295</v>
      </c>
      <c r="V6" s="41" t="s">
        <v>295</v>
      </c>
      <c r="W6" s="41" t="s">
        <v>295</v>
      </c>
    </row>
    <row r="7" spans="3:23" ht="11.25">
      <c r="C7" s="39"/>
      <c r="D7" s="63"/>
      <c r="E7" s="56"/>
      <c r="F7" s="117"/>
      <c r="G7" s="118" t="s">
        <v>185</v>
      </c>
      <c r="H7" s="112">
        <v>5</v>
      </c>
      <c r="I7" s="41"/>
      <c r="J7" s="41"/>
      <c r="K7" s="41"/>
      <c r="L7" s="41"/>
      <c r="M7" s="41"/>
      <c r="N7" s="41">
        <v>110</v>
      </c>
      <c r="O7" s="41">
        <v>110</v>
      </c>
      <c r="P7" s="41">
        <v>110</v>
      </c>
      <c r="Q7" s="41">
        <v>110</v>
      </c>
      <c r="R7" s="41">
        <v>110</v>
      </c>
      <c r="S7" s="41">
        <v>110</v>
      </c>
      <c r="T7" s="41">
        <v>90</v>
      </c>
      <c r="U7" s="41">
        <v>90</v>
      </c>
      <c r="V7" s="41">
        <v>160</v>
      </c>
      <c r="W7" s="41">
        <v>160</v>
      </c>
    </row>
    <row r="8" spans="3:23" ht="11.25">
      <c r="C8" s="39"/>
      <c r="D8" s="63"/>
      <c r="E8" s="56"/>
      <c r="F8" s="117"/>
      <c r="G8" s="118" t="s">
        <v>186</v>
      </c>
      <c r="H8" s="44" t="s">
        <v>709</v>
      </c>
      <c r="I8" s="43"/>
      <c r="J8" s="43"/>
      <c r="K8" s="43"/>
      <c r="L8" s="43"/>
      <c r="M8" s="43"/>
      <c r="N8" s="43" t="s">
        <v>1079</v>
      </c>
      <c r="O8" s="44" t="s">
        <v>1079</v>
      </c>
      <c r="P8" s="43" t="s">
        <v>709</v>
      </c>
      <c r="Q8" s="43" t="s">
        <v>1079</v>
      </c>
      <c r="R8" s="44" t="s">
        <v>1079</v>
      </c>
      <c r="S8" s="43" t="s">
        <v>709</v>
      </c>
      <c r="T8" s="41" t="s">
        <v>1120</v>
      </c>
      <c r="U8" s="41" t="s">
        <v>1120</v>
      </c>
      <c r="V8" s="43" t="s">
        <v>716</v>
      </c>
      <c r="W8" s="43" t="s">
        <v>1121</v>
      </c>
    </row>
    <row r="9" spans="3:23" ht="11.25">
      <c r="C9" s="60"/>
      <c r="D9" s="127"/>
      <c r="E9" s="56">
        <f>COUNTIF($H9:W9,"&gt;=0")</f>
        <v>16</v>
      </c>
      <c r="F9" s="119"/>
      <c r="G9" s="120" t="s">
        <v>187</v>
      </c>
      <c r="H9" s="62">
        <v>8</v>
      </c>
      <c r="I9" s="41">
        <v>9</v>
      </c>
      <c r="J9" s="41">
        <v>9</v>
      </c>
      <c r="K9" s="41">
        <v>8</v>
      </c>
      <c r="L9" s="41">
        <v>8</v>
      </c>
      <c r="M9" s="41">
        <v>6</v>
      </c>
      <c r="N9" s="41">
        <v>7</v>
      </c>
      <c r="O9" s="41">
        <v>7</v>
      </c>
      <c r="P9" s="41">
        <v>7</v>
      </c>
      <c r="Q9" s="41">
        <v>7</v>
      </c>
      <c r="R9" s="41">
        <v>7</v>
      </c>
      <c r="S9" s="41">
        <v>5</v>
      </c>
      <c r="T9" s="41">
        <v>4</v>
      </c>
      <c r="U9" s="41">
        <v>4</v>
      </c>
      <c r="V9" s="41">
        <v>6</v>
      </c>
      <c r="W9" s="41">
        <v>6</v>
      </c>
    </row>
    <row r="10" spans="3:23" ht="37.5">
      <c r="C10" s="41" t="s">
        <v>451</v>
      </c>
      <c r="D10" s="201" t="s">
        <v>422</v>
      </c>
      <c r="E10" s="36" t="s">
        <v>188</v>
      </c>
      <c r="F10" s="36" t="s">
        <v>189</v>
      </c>
      <c r="G10" s="151" t="s">
        <v>190</v>
      </c>
      <c r="H10" s="36">
        <v>38134</v>
      </c>
      <c r="I10" s="36">
        <v>38169</v>
      </c>
      <c r="J10" s="36">
        <v>38169</v>
      </c>
      <c r="K10" s="36">
        <v>38169</v>
      </c>
      <c r="L10" s="36">
        <v>38170</v>
      </c>
      <c r="M10" s="36">
        <v>38170</v>
      </c>
      <c r="N10" s="36">
        <v>38225</v>
      </c>
      <c r="O10" s="36">
        <v>38225</v>
      </c>
      <c r="P10" s="36">
        <v>38225</v>
      </c>
      <c r="Q10" s="36">
        <v>38226</v>
      </c>
      <c r="R10" s="36">
        <v>38226</v>
      </c>
      <c r="S10" s="36">
        <v>38226</v>
      </c>
      <c r="T10" s="36">
        <v>38267</v>
      </c>
      <c r="U10" s="36">
        <v>38267</v>
      </c>
      <c r="V10" s="36">
        <v>38268</v>
      </c>
      <c r="W10" s="36">
        <v>38268</v>
      </c>
    </row>
    <row r="11" spans="2:23" ht="11.25">
      <c r="B11" s="27">
        <v>1</v>
      </c>
      <c r="C11" s="40">
        <v>25</v>
      </c>
      <c r="D11" s="39" t="s">
        <v>357</v>
      </c>
      <c r="E11" s="32">
        <f aca="true" t="shared" si="0" ref="E11:E25">COUNTA(H11:W11)</f>
        <v>11</v>
      </c>
      <c r="F11" s="32">
        <v>0</v>
      </c>
      <c r="G11" s="33">
        <f>C_S_G($H11:W11,$H$9:W$9,csg_table,E$9,F11)</f>
        <v>0.924802110817942</v>
      </c>
      <c r="H11" s="32">
        <v>1</v>
      </c>
      <c r="I11" s="32">
        <v>4</v>
      </c>
      <c r="J11" s="32">
        <v>3</v>
      </c>
      <c r="K11" s="32">
        <v>5</v>
      </c>
      <c r="L11" s="32">
        <v>2</v>
      </c>
      <c r="M11" s="32">
        <v>1</v>
      </c>
      <c r="N11" s="32">
        <v>1</v>
      </c>
      <c r="O11" s="32">
        <v>1</v>
      </c>
      <c r="P11" s="32">
        <v>1</v>
      </c>
      <c r="Q11" s="32">
        <v>3</v>
      </c>
      <c r="R11" s="32">
        <v>1</v>
      </c>
      <c r="S11" s="32"/>
      <c r="T11" s="32"/>
      <c r="U11" s="32"/>
      <c r="V11" s="32"/>
      <c r="W11" s="32"/>
    </row>
    <row r="12" spans="2:23" ht="11.25">
      <c r="B12" s="27">
        <v>2</v>
      </c>
      <c r="C12" s="40">
        <v>23</v>
      </c>
      <c r="D12" s="39" t="s">
        <v>684</v>
      </c>
      <c r="E12" s="32">
        <f t="shared" si="0"/>
        <v>10</v>
      </c>
      <c r="F12" s="32">
        <v>0</v>
      </c>
      <c r="G12" s="33">
        <f>C_S_G($H12:W12,$H$9:W$9,csg_table,E$9,F12)</f>
        <v>0.8659305993690851</v>
      </c>
      <c r="H12" s="32">
        <v>4</v>
      </c>
      <c r="I12" s="32">
        <v>3</v>
      </c>
      <c r="J12" s="255">
        <v>2.51</v>
      </c>
      <c r="K12" s="32">
        <v>1</v>
      </c>
      <c r="L12" s="32">
        <v>3</v>
      </c>
      <c r="M12" s="32">
        <v>3</v>
      </c>
      <c r="N12" s="32"/>
      <c r="O12" s="32"/>
      <c r="P12" s="32"/>
      <c r="Q12" s="32"/>
      <c r="R12" s="32"/>
      <c r="S12" s="32"/>
      <c r="T12" s="32">
        <v>1</v>
      </c>
      <c r="U12" s="32">
        <v>1</v>
      </c>
      <c r="V12" s="32">
        <v>4</v>
      </c>
      <c r="W12" s="32">
        <v>5</v>
      </c>
    </row>
    <row r="13" spans="2:23" ht="11.25">
      <c r="B13" s="27">
        <v>3</v>
      </c>
      <c r="C13" s="40">
        <v>221</v>
      </c>
      <c r="D13" s="39" t="s">
        <v>407</v>
      </c>
      <c r="E13" s="32">
        <f t="shared" si="0"/>
        <v>12</v>
      </c>
      <c r="F13" s="32">
        <v>0</v>
      </c>
      <c r="G13" s="33">
        <f>C_S_G($H13:W13,$H$9:W$9,csg_table,E$9,F13)</f>
        <v>0.8246913580246914</v>
      </c>
      <c r="H13" s="32">
        <v>2</v>
      </c>
      <c r="I13" s="32">
        <v>2</v>
      </c>
      <c r="J13" s="32">
        <v>6</v>
      </c>
      <c r="K13" s="32">
        <v>2</v>
      </c>
      <c r="L13" s="32">
        <v>6</v>
      </c>
      <c r="M13" s="32">
        <v>5</v>
      </c>
      <c r="N13" s="32">
        <v>3</v>
      </c>
      <c r="O13" s="32">
        <v>3</v>
      </c>
      <c r="P13" s="32">
        <v>4</v>
      </c>
      <c r="Q13" s="32">
        <v>5</v>
      </c>
      <c r="R13" s="32">
        <v>3</v>
      </c>
      <c r="S13" s="32">
        <v>2</v>
      </c>
      <c r="T13" s="32"/>
      <c r="U13" s="32"/>
      <c r="V13" s="32"/>
      <c r="W13" s="32"/>
    </row>
    <row r="14" spans="2:23" ht="11.25">
      <c r="B14" s="27">
        <v>4</v>
      </c>
      <c r="C14" s="40">
        <v>176</v>
      </c>
      <c r="D14" s="39" t="s">
        <v>406</v>
      </c>
      <c r="E14" s="32">
        <f t="shared" si="0"/>
        <v>13</v>
      </c>
      <c r="F14" s="32">
        <v>0</v>
      </c>
      <c r="G14" s="33">
        <f>C_S_G($H14:W14,$H$9:W$9,csg_table,E$9,F14)</f>
        <v>0.8076923076923077</v>
      </c>
      <c r="H14" s="32"/>
      <c r="I14" s="32">
        <v>7</v>
      </c>
      <c r="J14" s="32">
        <v>2</v>
      </c>
      <c r="K14" s="32">
        <v>3</v>
      </c>
      <c r="L14" s="32">
        <v>4</v>
      </c>
      <c r="M14" s="32">
        <v>4</v>
      </c>
      <c r="N14" s="32">
        <v>6</v>
      </c>
      <c r="O14" s="32">
        <v>4</v>
      </c>
      <c r="P14" s="32">
        <v>6</v>
      </c>
      <c r="Q14" s="32">
        <v>4</v>
      </c>
      <c r="R14" s="32">
        <v>5</v>
      </c>
      <c r="S14" s="32">
        <v>4</v>
      </c>
      <c r="T14" s="32"/>
      <c r="U14" s="32"/>
      <c r="V14" s="32">
        <v>1</v>
      </c>
      <c r="W14" s="32">
        <v>1</v>
      </c>
    </row>
    <row r="15" spans="2:23" ht="11.25">
      <c r="B15" s="27">
        <v>5</v>
      </c>
      <c r="C15" s="40">
        <v>54</v>
      </c>
      <c r="D15" s="39" t="s">
        <v>414</v>
      </c>
      <c r="E15" s="32">
        <f t="shared" si="0"/>
        <v>10</v>
      </c>
      <c r="F15" s="32">
        <v>0</v>
      </c>
      <c r="G15" s="33">
        <f>C_S_G($H15:W15,$H$9:W$9,csg_table,E$9,F15)</f>
        <v>0.7789115646258503</v>
      </c>
      <c r="H15" s="32"/>
      <c r="I15" s="32"/>
      <c r="J15" s="32"/>
      <c r="K15" s="32"/>
      <c r="L15" s="32"/>
      <c r="M15" s="32"/>
      <c r="N15" s="32">
        <v>5</v>
      </c>
      <c r="O15" s="32">
        <v>6</v>
      </c>
      <c r="P15" s="32">
        <v>5</v>
      </c>
      <c r="Q15" s="32">
        <v>1</v>
      </c>
      <c r="R15" s="32">
        <v>6</v>
      </c>
      <c r="S15" s="32">
        <v>3</v>
      </c>
      <c r="T15" s="32">
        <v>2</v>
      </c>
      <c r="U15" s="32">
        <v>3</v>
      </c>
      <c r="V15" s="32">
        <v>6</v>
      </c>
      <c r="W15" s="32">
        <v>3</v>
      </c>
    </row>
    <row r="16" spans="2:23" ht="11.25">
      <c r="B16" s="27">
        <v>6</v>
      </c>
      <c r="C16" s="40">
        <v>142</v>
      </c>
      <c r="D16" s="39" t="s">
        <v>839</v>
      </c>
      <c r="E16" s="32">
        <f t="shared" si="0"/>
        <v>11</v>
      </c>
      <c r="F16" s="32">
        <v>0</v>
      </c>
      <c r="G16" s="33">
        <f>C_S_G($H16:W16,$H$9:W$9,csg_table,E$9,F16)</f>
        <v>0.7363387978142076</v>
      </c>
      <c r="H16" s="32">
        <v>7</v>
      </c>
      <c r="I16" s="32">
        <v>6</v>
      </c>
      <c r="J16" s="32">
        <v>5</v>
      </c>
      <c r="K16" s="32">
        <v>6</v>
      </c>
      <c r="L16" s="32">
        <v>5</v>
      </c>
      <c r="M16" s="32">
        <v>6</v>
      </c>
      <c r="N16" s="32"/>
      <c r="O16" s="32"/>
      <c r="P16" s="32"/>
      <c r="Q16" s="32">
        <v>6</v>
      </c>
      <c r="R16" s="32">
        <v>4</v>
      </c>
      <c r="S16" s="32">
        <v>5</v>
      </c>
      <c r="T16" s="32"/>
      <c r="U16" s="32"/>
      <c r="V16" s="32">
        <v>2</v>
      </c>
      <c r="W16" s="32">
        <v>6</v>
      </c>
    </row>
    <row r="17" spans="2:23" ht="11.25">
      <c r="B17" s="27">
        <v>7</v>
      </c>
      <c r="C17" s="40">
        <v>117</v>
      </c>
      <c r="D17" s="39" t="s">
        <v>781</v>
      </c>
      <c r="E17" s="32">
        <f t="shared" si="0"/>
        <v>8</v>
      </c>
      <c r="F17" s="32">
        <v>0</v>
      </c>
      <c r="G17" s="33">
        <f>C_S_G($H17:W17,$H$9:W$9,csg_table,E$9,F17)</f>
        <v>0.7256317689530686</v>
      </c>
      <c r="H17" s="32">
        <v>5</v>
      </c>
      <c r="I17" s="32">
        <v>9</v>
      </c>
      <c r="J17" s="32">
        <v>8</v>
      </c>
      <c r="K17" s="32"/>
      <c r="L17" s="32"/>
      <c r="M17" s="32"/>
      <c r="N17" s="32">
        <v>4</v>
      </c>
      <c r="O17" s="32">
        <v>5</v>
      </c>
      <c r="P17" s="32">
        <v>3</v>
      </c>
      <c r="Q17" s="32">
        <v>7</v>
      </c>
      <c r="R17" s="32">
        <v>7</v>
      </c>
      <c r="S17" s="32"/>
      <c r="T17" s="32"/>
      <c r="U17" s="32"/>
      <c r="V17" s="32"/>
      <c r="W17" s="32"/>
    </row>
    <row r="18" spans="2:23" ht="11.25">
      <c r="B18" s="277" t="s">
        <v>215</v>
      </c>
      <c r="C18" s="40">
        <v>26</v>
      </c>
      <c r="D18" s="39" t="s">
        <v>779</v>
      </c>
      <c r="E18" s="32">
        <f t="shared" si="0"/>
        <v>6</v>
      </c>
      <c r="F18" s="32">
        <v>0</v>
      </c>
      <c r="G18" s="33">
        <f>C_S_G($H18:W18,$H$9:W$9,csg_table,E$9,F18)</f>
        <v>0.9299065420560748</v>
      </c>
      <c r="H18" s="32">
        <v>3</v>
      </c>
      <c r="I18" s="32">
        <v>1</v>
      </c>
      <c r="J18" s="32">
        <v>1</v>
      </c>
      <c r="K18" s="32">
        <v>4</v>
      </c>
      <c r="L18" s="32">
        <v>1</v>
      </c>
      <c r="M18" s="32">
        <v>2</v>
      </c>
      <c r="N18" s="32"/>
      <c r="O18" s="32"/>
      <c r="P18" s="32"/>
      <c r="Q18" s="32"/>
      <c r="R18" s="32"/>
      <c r="S18" s="32"/>
      <c r="T18" s="32"/>
      <c r="U18" s="32"/>
      <c r="V18" s="32"/>
      <c r="W18" s="32"/>
    </row>
    <row r="19" spans="2:23" ht="11.25">
      <c r="B19" s="277" t="s">
        <v>215</v>
      </c>
      <c r="C19" s="40">
        <v>70</v>
      </c>
      <c r="D19" s="39" t="s">
        <v>837</v>
      </c>
      <c r="E19" s="32">
        <f t="shared" si="0"/>
        <v>6</v>
      </c>
      <c r="F19" s="32">
        <v>0</v>
      </c>
      <c r="G19" s="33">
        <f>C_S_G($H19:W19,$H$9:W$9,csg_table,E$9,F19)</f>
        <v>0.7821229050279329</v>
      </c>
      <c r="H19" s="32"/>
      <c r="I19" s="32">
        <v>8</v>
      </c>
      <c r="J19" s="32">
        <v>4</v>
      </c>
      <c r="K19" s="32"/>
      <c r="L19" s="32"/>
      <c r="M19" s="32"/>
      <c r="N19" s="32"/>
      <c r="O19" s="32"/>
      <c r="P19" s="32"/>
      <c r="Q19" s="32"/>
      <c r="R19" s="32"/>
      <c r="S19" s="32"/>
      <c r="T19" s="32">
        <v>3</v>
      </c>
      <c r="U19" s="32">
        <v>2</v>
      </c>
      <c r="V19" s="32">
        <v>3</v>
      </c>
      <c r="W19" s="32">
        <v>4</v>
      </c>
    </row>
    <row r="20" spans="2:23" ht="11.25">
      <c r="B20" s="277" t="s">
        <v>215</v>
      </c>
      <c r="C20" s="40">
        <v>182</v>
      </c>
      <c r="D20" s="39" t="s">
        <v>359</v>
      </c>
      <c r="E20" s="32">
        <f t="shared" si="0"/>
        <v>6</v>
      </c>
      <c r="F20" s="32">
        <v>0</v>
      </c>
      <c r="G20" s="33">
        <f>C_S_G($H20:W20,$H$9:W$9,csg_table,E$9,F20)</f>
        <v>0.9214659685863874</v>
      </c>
      <c r="H20" s="32"/>
      <c r="I20" s="32"/>
      <c r="J20" s="32"/>
      <c r="K20" s="32"/>
      <c r="L20" s="32"/>
      <c r="M20" s="32"/>
      <c r="N20" s="32">
        <v>2</v>
      </c>
      <c r="O20" s="32">
        <v>2</v>
      </c>
      <c r="P20" s="32">
        <v>2</v>
      </c>
      <c r="Q20" s="32">
        <v>2</v>
      </c>
      <c r="R20" s="32">
        <v>2</v>
      </c>
      <c r="S20" s="32">
        <v>1</v>
      </c>
      <c r="T20" s="32"/>
      <c r="U20" s="32"/>
      <c r="V20" s="32"/>
      <c r="W20" s="32"/>
    </row>
    <row r="21" spans="2:23" ht="11.25">
      <c r="B21" s="277" t="s">
        <v>215</v>
      </c>
      <c r="C21" s="40">
        <v>41</v>
      </c>
      <c r="D21" s="39" t="s">
        <v>417</v>
      </c>
      <c r="E21" s="32">
        <f t="shared" si="0"/>
        <v>5</v>
      </c>
      <c r="F21" s="32">
        <v>0</v>
      </c>
      <c r="G21" s="33">
        <f>C_S_G($H21:W21,$H$9:W$9,csg_table,E$9,F21)</f>
        <v>0.7446043165467626</v>
      </c>
      <c r="H21" s="32">
        <v>6</v>
      </c>
      <c r="I21" s="32"/>
      <c r="J21" s="32"/>
      <c r="K21" s="32"/>
      <c r="L21" s="32"/>
      <c r="M21" s="32"/>
      <c r="N21" s="32"/>
      <c r="O21" s="32"/>
      <c r="P21" s="32"/>
      <c r="Q21" s="32"/>
      <c r="R21" s="32"/>
      <c r="S21" s="32"/>
      <c r="T21" s="32">
        <v>4</v>
      </c>
      <c r="U21" s="32">
        <v>4</v>
      </c>
      <c r="V21" s="32">
        <v>5</v>
      </c>
      <c r="W21" s="32">
        <v>2</v>
      </c>
    </row>
    <row r="22" spans="2:23" ht="11.25">
      <c r="B22" s="277" t="s">
        <v>215</v>
      </c>
      <c r="C22" s="40">
        <v>38</v>
      </c>
      <c r="D22" s="39" t="s">
        <v>782</v>
      </c>
      <c r="E22" s="32">
        <f t="shared" si="0"/>
        <v>4</v>
      </c>
      <c r="F22" s="32">
        <v>0</v>
      </c>
      <c r="G22" s="33">
        <f>C_S_G($H22:W22,$H$9:W$9,csg_table,E$9,F22)</f>
        <v>0.6666666666666666</v>
      </c>
      <c r="H22" s="32">
        <v>8</v>
      </c>
      <c r="I22" s="32"/>
      <c r="J22" s="32"/>
      <c r="K22" s="32"/>
      <c r="L22" s="32"/>
      <c r="M22" s="32"/>
      <c r="N22" s="32">
        <v>7</v>
      </c>
      <c r="O22" s="32">
        <v>7</v>
      </c>
      <c r="P22" s="32">
        <v>7</v>
      </c>
      <c r="Q22" s="32"/>
      <c r="R22" s="32"/>
      <c r="S22" s="32"/>
      <c r="T22" s="32"/>
      <c r="U22" s="32"/>
      <c r="V22" s="32"/>
      <c r="W22" s="32"/>
    </row>
    <row r="23" spans="2:23" ht="11.25">
      <c r="B23" s="277" t="s">
        <v>215</v>
      </c>
      <c r="C23" s="40">
        <v>106</v>
      </c>
      <c r="D23" s="39" t="s">
        <v>849</v>
      </c>
      <c r="E23" s="32">
        <f t="shared" si="0"/>
        <v>4</v>
      </c>
      <c r="F23" s="32">
        <v>0</v>
      </c>
      <c r="G23" s="33">
        <f>C_S_G($H23:W23,$H$9:W$9,csg_table,E$9,F23)</f>
        <v>0.6993243243243243</v>
      </c>
      <c r="H23" s="32"/>
      <c r="I23" s="32">
        <v>5</v>
      </c>
      <c r="J23" s="32">
        <v>9</v>
      </c>
      <c r="K23" s="32">
        <v>8</v>
      </c>
      <c r="L23" s="32">
        <v>7</v>
      </c>
      <c r="M23" s="32"/>
      <c r="N23" s="32"/>
      <c r="O23" s="32"/>
      <c r="P23" s="32"/>
      <c r="Q23" s="32"/>
      <c r="R23" s="32"/>
      <c r="S23" s="32"/>
      <c r="T23" s="32"/>
      <c r="U23" s="32"/>
      <c r="V23" s="32"/>
      <c r="W23" s="32"/>
    </row>
    <row r="24" spans="2:23" ht="11.25">
      <c r="B24" s="277" t="s">
        <v>215</v>
      </c>
      <c r="C24" s="40">
        <v>5</v>
      </c>
      <c r="D24" s="39" t="s">
        <v>831</v>
      </c>
      <c r="E24" s="32">
        <f t="shared" si="0"/>
        <v>2</v>
      </c>
      <c r="F24" s="32">
        <v>0</v>
      </c>
      <c r="G24" s="33">
        <f>C_S_G($H24:W24,$H$9:W$9,csg_table,E$9,F24)</f>
        <v>0.6756756756756757</v>
      </c>
      <c r="H24" s="32"/>
      <c r="I24" s="32"/>
      <c r="J24" s="32"/>
      <c r="K24" s="32">
        <v>7</v>
      </c>
      <c r="L24" s="32" t="s">
        <v>299</v>
      </c>
      <c r="M24" s="32"/>
      <c r="N24" s="32"/>
      <c r="O24" s="32"/>
      <c r="P24" s="32"/>
      <c r="Q24" s="32"/>
      <c r="R24" s="32"/>
      <c r="S24" s="32"/>
      <c r="T24" s="32"/>
      <c r="U24" s="32"/>
      <c r="V24" s="32"/>
      <c r="W24" s="32"/>
    </row>
    <row r="25" spans="2:23" ht="11.25">
      <c r="B25" s="24" t="s">
        <v>215</v>
      </c>
      <c r="C25" s="50">
        <v>231</v>
      </c>
      <c r="D25" s="60" t="s">
        <v>419</v>
      </c>
      <c r="E25" s="34">
        <f t="shared" si="0"/>
        <v>0</v>
      </c>
      <c r="F25" s="34">
        <v>0</v>
      </c>
      <c r="G25" s="35">
        <f>C_S_G($H25:W25,$H$9:W$9,csg_table,E$9,F25)</f>
        <v>0</v>
      </c>
      <c r="H25" s="34"/>
      <c r="I25" s="34"/>
      <c r="J25" s="34"/>
      <c r="K25" s="34"/>
      <c r="L25" s="34"/>
      <c r="M25" s="34"/>
      <c r="N25" s="34"/>
      <c r="O25" s="34"/>
      <c r="P25" s="34"/>
      <c r="Q25" s="34"/>
      <c r="R25" s="34"/>
      <c r="S25" s="34"/>
      <c r="T25" s="34"/>
      <c r="U25" s="34"/>
      <c r="V25" s="34"/>
      <c r="W25" s="34"/>
    </row>
    <row r="26" spans="2:4" ht="11.25">
      <c r="B26" s="27" t="s">
        <v>215</v>
      </c>
      <c r="C26" s="27">
        <f>E9*0.5</f>
        <v>8</v>
      </c>
      <c r="D26" s="27" t="s">
        <v>1128</v>
      </c>
    </row>
    <row r="28" ht="11.25">
      <c r="D28" s="27" t="s">
        <v>730</v>
      </c>
    </row>
    <row r="29" ht="11.25">
      <c r="D29" s="27" t="s">
        <v>731</v>
      </c>
    </row>
    <row r="30" ht="11.25">
      <c r="D30" s="27" t="s">
        <v>732</v>
      </c>
    </row>
  </sheetData>
  <sheetProtection/>
  <mergeCells count="3">
    <mergeCell ref="T5:W5"/>
    <mergeCell ref="N5:S5"/>
    <mergeCell ref="I5:M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35"/>
  <dimension ref="A1:AX32"/>
  <sheetViews>
    <sheetView zoomScalePageLayoutView="0" workbookViewId="0" topLeftCell="A1">
      <pane xSplit="7" ySplit="10" topLeftCell="H11" activePane="bottomRight" state="frozen"/>
      <selection pane="topLeft" activeCell="D32" sqref="D32"/>
      <selection pane="topRight" activeCell="D32" sqref="D32"/>
      <selection pane="bottomLeft" activeCell="D32" sqref="D32"/>
      <selection pane="bottomRight" activeCell="D26" sqref="D26"/>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8" width="4.00390625" style="27" customWidth="1"/>
    <col min="9" max="46" width="4.140625" style="27" customWidth="1"/>
    <col min="47" max="48" width="9.140625" style="27" customWidth="1"/>
    <col min="49" max="49" width="7.7109375" style="27" customWidth="1"/>
    <col min="50" max="16384" width="9.140625" style="27" customWidth="1"/>
  </cols>
  <sheetData>
    <row r="1" spans="1:25" ht="11.25">
      <c r="A1" s="27" t="s">
        <v>191</v>
      </c>
      <c r="Y1" s="27" t="s">
        <v>191</v>
      </c>
    </row>
    <row r="2" ht="15.75">
      <c r="D2" s="71" t="s">
        <v>775</v>
      </c>
    </row>
    <row r="3" ht="11.25">
      <c r="D3" s="27" t="s">
        <v>1124</v>
      </c>
    </row>
    <row r="4" spans="8:50" ht="11.25">
      <c r="H4" s="28" t="s">
        <v>300</v>
      </c>
      <c r="I4" s="49"/>
      <c r="J4" s="49"/>
      <c r="K4" s="49"/>
      <c r="L4" s="49"/>
      <c r="M4" s="49"/>
      <c r="N4" s="49"/>
      <c r="O4" s="29"/>
      <c r="P4" s="29"/>
      <c r="Q4" s="29"/>
      <c r="R4" s="29"/>
      <c r="S4" s="30"/>
      <c r="Z4" s="234" t="s">
        <v>301</v>
      </c>
      <c r="AA4" s="49"/>
      <c r="AB4" s="49"/>
      <c r="AC4" s="49"/>
      <c r="AD4" s="49"/>
      <c r="AE4" s="49"/>
      <c r="AF4" s="49"/>
      <c r="AG4" s="49"/>
      <c r="AH4" s="49"/>
      <c r="AI4" s="49"/>
      <c r="AJ4" s="49"/>
      <c r="AK4" s="49"/>
      <c r="AL4" s="49"/>
      <c r="AM4" s="49"/>
      <c r="AN4" s="49"/>
      <c r="AO4" s="49"/>
      <c r="AP4" s="49"/>
      <c r="AQ4" s="29"/>
      <c r="AR4" s="29"/>
      <c r="AS4" s="29"/>
      <c r="AT4" s="30"/>
      <c r="AW4" s="104" t="s">
        <v>1110</v>
      </c>
      <c r="AX4" s="104"/>
    </row>
    <row r="5" spans="4:50" ht="11.25">
      <c r="D5" s="191"/>
      <c r="H5" s="235" t="s">
        <v>825</v>
      </c>
      <c r="I5" s="53" t="s">
        <v>823</v>
      </c>
      <c r="J5" s="375" t="s">
        <v>312</v>
      </c>
      <c r="K5" s="377"/>
      <c r="L5" s="375" t="s">
        <v>873</v>
      </c>
      <c r="M5" s="376"/>
      <c r="N5" s="377"/>
      <c r="O5" s="376" t="s">
        <v>314</v>
      </c>
      <c r="P5" s="376"/>
      <c r="Q5" s="376"/>
      <c r="R5" s="376"/>
      <c r="S5" s="377"/>
      <c r="T5" s="378" t="s">
        <v>288</v>
      </c>
      <c r="U5" s="379"/>
      <c r="V5" s="379"/>
      <c r="W5" s="379"/>
      <c r="X5" s="379"/>
      <c r="Y5" s="379"/>
      <c r="Z5" s="375" t="s">
        <v>312</v>
      </c>
      <c r="AA5" s="377"/>
      <c r="AB5" s="376" t="s">
        <v>513</v>
      </c>
      <c r="AC5" s="377"/>
      <c r="AD5" s="376" t="s">
        <v>548</v>
      </c>
      <c r="AE5" s="376"/>
      <c r="AF5" s="376"/>
      <c r="AG5" s="376"/>
      <c r="AH5" s="376"/>
      <c r="AI5" s="377"/>
      <c r="AJ5" s="375" t="s">
        <v>776</v>
      </c>
      <c r="AK5" s="376"/>
      <c r="AL5" s="376"/>
      <c r="AM5" s="376"/>
      <c r="AN5" s="377"/>
      <c r="AO5" s="375" t="s">
        <v>788</v>
      </c>
      <c r="AP5" s="377"/>
      <c r="AQ5" s="375" t="s">
        <v>789</v>
      </c>
      <c r="AR5" s="376"/>
      <c r="AS5" s="376"/>
      <c r="AT5" s="377"/>
      <c r="AW5" s="37"/>
      <c r="AX5" s="126"/>
    </row>
    <row r="6" spans="3:50" ht="11.25">
      <c r="C6" s="37"/>
      <c r="D6" s="126"/>
      <c r="E6" s="105"/>
      <c r="F6" s="115"/>
      <c r="G6" s="116" t="s">
        <v>184</v>
      </c>
      <c r="H6" s="62" t="s">
        <v>295</v>
      </c>
      <c r="I6" s="41" t="s">
        <v>295</v>
      </c>
      <c r="J6" s="41"/>
      <c r="K6" s="41"/>
      <c r="L6" s="41" t="s">
        <v>430</v>
      </c>
      <c r="M6" s="41" t="s">
        <v>295</v>
      </c>
      <c r="N6" s="41" t="s">
        <v>430</v>
      </c>
      <c r="O6" s="41"/>
      <c r="P6" s="41"/>
      <c r="Q6" s="41"/>
      <c r="R6" s="41"/>
      <c r="S6" s="41"/>
      <c r="T6" s="41" t="s">
        <v>295</v>
      </c>
      <c r="U6" s="41" t="s">
        <v>295</v>
      </c>
      <c r="V6" s="41" t="s">
        <v>295</v>
      </c>
      <c r="W6" s="41" t="s">
        <v>295</v>
      </c>
      <c r="X6" s="41" t="s">
        <v>295</v>
      </c>
      <c r="Y6" s="41" t="s">
        <v>295</v>
      </c>
      <c r="Z6" s="41" t="s">
        <v>515</v>
      </c>
      <c r="AA6" s="41" t="s">
        <v>295</v>
      </c>
      <c r="AB6" s="41" t="s">
        <v>295</v>
      </c>
      <c r="AC6" s="41" t="s">
        <v>430</v>
      </c>
      <c r="AD6" s="41" t="s">
        <v>295</v>
      </c>
      <c r="AE6" s="41" t="s">
        <v>295</v>
      </c>
      <c r="AF6" s="41" t="s">
        <v>295</v>
      </c>
      <c r="AG6" s="41" t="s">
        <v>295</v>
      </c>
      <c r="AH6" s="41" t="s">
        <v>295</v>
      </c>
      <c r="AI6" s="41" t="s">
        <v>295</v>
      </c>
      <c r="AJ6" s="41"/>
      <c r="AK6" s="41"/>
      <c r="AL6" s="41"/>
      <c r="AM6" s="41"/>
      <c r="AN6" s="41"/>
      <c r="AO6" s="41"/>
      <c r="AP6" s="41"/>
      <c r="AQ6" s="41" t="s">
        <v>295</v>
      </c>
      <c r="AR6" s="41" t="s">
        <v>295</v>
      </c>
      <c r="AS6" s="41" t="s">
        <v>295</v>
      </c>
      <c r="AT6" s="41" t="s">
        <v>295</v>
      </c>
      <c r="AW6" s="39"/>
      <c r="AX6" s="63"/>
    </row>
    <row r="7" spans="3:50" ht="11.25">
      <c r="C7" s="39"/>
      <c r="D7" s="63"/>
      <c r="E7" s="56"/>
      <c r="F7" s="117"/>
      <c r="G7" s="118" t="s">
        <v>185</v>
      </c>
      <c r="H7" s="112">
        <v>5</v>
      </c>
      <c r="I7" s="41">
        <v>70</v>
      </c>
      <c r="J7" s="41"/>
      <c r="K7" s="41"/>
      <c r="L7" s="41">
        <v>75</v>
      </c>
      <c r="M7" s="41">
        <v>90</v>
      </c>
      <c r="N7" s="41">
        <v>190</v>
      </c>
      <c r="O7" s="41"/>
      <c r="P7" s="41"/>
      <c r="Q7" s="41"/>
      <c r="R7" s="41"/>
      <c r="S7" s="41"/>
      <c r="T7" s="41">
        <v>215</v>
      </c>
      <c r="U7" s="41">
        <v>15</v>
      </c>
      <c r="V7" s="41">
        <v>215</v>
      </c>
      <c r="W7" s="41">
        <v>200</v>
      </c>
      <c r="X7" s="41">
        <v>330</v>
      </c>
      <c r="Y7" s="41">
        <v>340</v>
      </c>
      <c r="Z7" s="41">
        <v>170</v>
      </c>
      <c r="AA7" s="41">
        <v>350</v>
      </c>
      <c r="AB7" s="41">
        <v>315</v>
      </c>
      <c r="AC7" s="41">
        <v>315</v>
      </c>
      <c r="AD7" s="41">
        <v>110</v>
      </c>
      <c r="AE7" s="41">
        <v>110</v>
      </c>
      <c r="AF7" s="41">
        <v>110</v>
      </c>
      <c r="AG7" s="41">
        <v>110</v>
      </c>
      <c r="AH7" s="41">
        <v>110</v>
      </c>
      <c r="AI7" s="41">
        <v>110</v>
      </c>
      <c r="AJ7" s="41"/>
      <c r="AK7" s="41"/>
      <c r="AL7" s="41"/>
      <c r="AM7" s="41"/>
      <c r="AN7" s="41"/>
      <c r="AO7" s="41"/>
      <c r="AP7" s="41"/>
      <c r="AQ7" s="41">
        <v>90</v>
      </c>
      <c r="AR7" s="41">
        <v>90</v>
      </c>
      <c r="AS7" s="41">
        <v>160</v>
      </c>
      <c r="AT7" s="41">
        <v>160</v>
      </c>
      <c r="AW7" s="39"/>
      <c r="AX7" s="63"/>
    </row>
    <row r="8" spans="3:50" ht="11.25">
      <c r="C8" s="39"/>
      <c r="D8" s="63"/>
      <c r="E8" s="56"/>
      <c r="F8" s="117"/>
      <c r="G8" s="118" t="s">
        <v>186</v>
      </c>
      <c r="H8" s="44" t="s">
        <v>709</v>
      </c>
      <c r="I8" s="111" t="s">
        <v>822</v>
      </c>
      <c r="J8" s="43"/>
      <c r="K8" s="43"/>
      <c r="L8" s="111" t="s">
        <v>822</v>
      </c>
      <c r="M8" s="111" t="s">
        <v>822</v>
      </c>
      <c r="N8" s="111" t="s">
        <v>872</v>
      </c>
      <c r="O8" s="43"/>
      <c r="P8" s="43"/>
      <c r="Q8" s="43"/>
      <c r="R8" s="43"/>
      <c r="S8" s="43"/>
      <c r="T8" s="43" t="s">
        <v>716</v>
      </c>
      <c r="U8" s="44" t="s">
        <v>709</v>
      </c>
      <c r="V8" s="43" t="s">
        <v>893</v>
      </c>
      <c r="W8" s="43" t="s">
        <v>893</v>
      </c>
      <c r="X8" s="43" t="s">
        <v>895</v>
      </c>
      <c r="Y8" s="43" t="s">
        <v>895</v>
      </c>
      <c r="Z8" s="43"/>
      <c r="AA8" s="43"/>
      <c r="AB8" s="43" t="s">
        <v>898</v>
      </c>
      <c r="AC8" s="43" t="s">
        <v>898</v>
      </c>
      <c r="AD8" s="43" t="s">
        <v>1079</v>
      </c>
      <c r="AE8" s="44" t="s">
        <v>1079</v>
      </c>
      <c r="AF8" s="43" t="s">
        <v>709</v>
      </c>
      <c r="AG8" s="43" t="s">
        <v>1079</v>
      </c>
      <c r="AH8" s="44" t="s">
        <v>1079</v>
      </c>
      <c r="AI8" s="43" t="s">
        <v>709</v>
      </c>
      <c r="AJ8" s="43"/>
      <c r="AK8" s="43"/>
      <c r="AL8" s="43"/>
      <c r="AM8" s="43"/>
      <c r="AN8" s="43"/>
      <c r="AO8" s="43"/>
      <c r="AP8" s="43"/>
      <c r="AQ8" s="41" t="s">
        <v>1120</v>
      </c>
      <c r="AR8" s="41" t="s">
        <v>1120</v>
      </c>
      <c r="AS8" s="43" t="s">
        <v>716</v>
      </c>
      <c r="AT8" s="43" t="s">
        <v>1121</v>
      </c>
      <c r="AW8" s="39"/>
      <c r="AX8" s="63"/>
    </row>
    <row r="9" spans="3:50" ht="11.25">
      <c r="C9" s="60"/>
      <c r="D9" s="127"/>
      <c r="E9" s="56">
        <f>COUNTIF($H9:AT9,"&gt;=0")</f>
        <v>39</v>
      </c>
      <c r="F9" s="119"/>
      <c r="G9" s="120" t="s">
        <v>187</v>
      </c>
      <c r="H9" s="62">
        <v>8</v>
      </c>
      <c r="I9" s="41">
        <v>8</v>
      </c>
      <c r="J9" s="41">
        <v>9</v>
      </c>
      <c r="K9" s="41">
        <v>8</v>
      </c>
      <c r="L9" s="41">
        <v>14</v>
      </c>
      <c r="M9" s="41">
        <v>14</v>
      </c>
      <c r="N9" s="41">
        <v>14</v>
      </c>
      <c r="O9" s="41">
        <v>9</v>
      </c>
      <c r="P9" s="41">
        <v>9</v>
      </c>
      <c r="Q9" s="41">
        <v>8</v>
      </c>
      <c r="R9" s="41">
        <v>8</v>
      </c>
      <c r="S9" s="41">
        <v>6</v>
      </c>
      <c r="T9" s="41">
        <v>14</v>
      </c>
      <c r="U9" s="41">
        <v>13</v>
      </c>
      <c r="V9" s="41">
        <v>12</v>
      </c>
      <c r="W9" s="41">
        <v>12</v>
      </c>
      <c r="X9" s="41">
        <v>14</v>
      </c>
      <c r="Y9" s="41">
        <v>14</v>
      </c>
      <c r="Z9" s="41">
        <v>10</v>
      </c>
      <c r="AA9" s="41">
        <v>5</v>
      </c>
      <c r="AB9" s="41">
        <v>9</v>
      </c>
      <c r="AC9" s="41">
        <v>8</v>
      </c>
      <c r="AD9" s="41">
        <v>7</v>
      </c>
      <c r="AE9" s="41">
        <v>7</v>
      </c>
      <c r="AF9" s="41">
        <v>7</v>
      </c>
      <c r="AG9" s="41">
        <v>7</v>
      </c>
      <c r="AH9" s="41">
        <v>7</v>
      </c>
      <c r="AI9" s="41">
        <v>5</v>
      </c>
      <c r="AJ9" s="41">
        <v>12</v>
      </c>
      <c r="AK9" s="41">
        <v>12</v>
      </c>
      <c r="AL9" s="41">
        <v>11</v>
      </c>
      <c r="AM9" s="41">
        <v>12</v>
      </c>
      <c r="AN9" s="41">
        <v>12</v>
      </c>
      <c r="AO9" s="41">
        <v>4</v>
      </c>
      <c r="AP9" s="41">
        <v>4</v>
      </c>
      <c r="AQ9" s="41">
        <v>4</v>
      </c>
      <c r="AR9" s="41">
        <v>4</v>
      </c>
      <c r="AS9" s="41">
        <v>6</v>
      </c>
      <c r="AT9" s="41">
        <v>6</v>
      </c>
      <c r="AW9" s="39"/>
      <c r="AX9" s="63"/>
    </row>
    <row r="10" spans="3:50" ht="37.5">
      <c r="C10" s="41" t="s">
        <v>451</v>
      </c>
      <c r="D10" s="201" t="s">
        <v>422</v>
      </c>
      <c r="E10" s="36" t="s">
        <v>188</v>
      </c>
      <c r="F10" s="36" t="s">
        <v>189</v>
      </c>
      <c r="G10" s="151" t="s">
        <v>190</v>
      </c>
      <c r="H10" s="36">
        <v>38134</v>
      </c>
      <c r="I10" s="36">
        <v>38141</v>
      </c>
      <c r="J10" s="36">
        <v>38155</v>
      </c>
      <c r="K10" s="36">
        <v>38155</v>
      </c>
      <c r="L10" s="36">
        <v>38163</v>
      </c>
      <c r="M10" s="36">
        <v>38163</v>
      </c>
      <c r="N10" s="36">
        <v>38163</v>
      </c>
      <c r="O10" s="36">
        <v>38169</v>
      </c>
      <c r="P10" s="36">
        <v>38169</v>
      </c>
      <c r="Q10" s="36">
        <v>38169</v>
      </c>
      <c r="R10" s="36">
        <v>38170</v>
      </c>
      <c r="S10" s="36">
        <v>38170</v>
      </c>
      <c r="T10" s="36">
        <v>38183</v>
      </c>
      <c r="U10" s="36">
        <v>38184</v>
      </c>
      <c r="V10" s="36">
        <v>38190</v>
      </c>
      <c r="W10" s="36">
        <v>38190</v>
      </c>
      <c r="X10" s="36">
        <v>38191</v>
      </c>
      <c r="Y10" s="36">
        <v>38191</v>
      </c>
      <c r="Z10" s="36">
        <v>38204</v>
      </c>
      <c r="AA10" s="36">
        <v>38204</v>
      </c>
      <c r="AB10" s="36">
        <v>38211</v>
      </c>
      <c r="AC10" s="36">
        <v>38211</v>
      </c>
      <c r="AD10" s="36">
        <v>38225</v>
      </c>
      <c r="AE10" s="36">
        <v>38225</v>
      </c>
      <c r="AF10" s="36">
        <v>38225</v>
      </c>
      <c r="AG10" s="36">
        <v>38226</v>
      </c>
      <c r="AH10" s="36">
        <v>38226</v>
      </c>
      <c r="AI10" s="36">
        <v>38226</v>
      </c>
      <c r="AJ10" s="36">
        <v>38239</v>
      </c>
      <c r="AK10" s="36">
        <v>38239</v>
      </c>
      <c r="AL10" s="36">
        <v>38239</v>
      </c>
      <c r="AM10" s="36">
        <v>38240</v>
      </c>
      <c r="AN10" s="36">
        <v>38240</v>
      </c>
      <c r="AO10" s="36">
        <v>38260</v>
      </c>
      <c r="AP10" s="36">
        <v>38260</v>
      </c>
      <c r="AQ10" s="36">
        <v>38267</v>
      </c>
      <c r="AR10" s="36">
        <v>38267</v>
      </c>
      <c r="AS10" s="36">
        <v>38268</v>
      </c>
      <c r="AT10" s="36">
        <v>38268</v>
      </c>
      <c r="AW10" s="60" t="s">
        <v>742</v>
      </c>
      <c r="AX10" s="64" t="s">
        <v>744</v>
      </c>
    </row>
    <row r="11" spans="2:50" ht="11.25">
      <c r="B11" s="27">
        <v>1</v>
      </c>
      <c r="C11" s="40">
        <v>25</v>
      </c>
      <c r="D11" s="39" t="s">
        <v>357</v>
      </c>
      <c r="E11" s="32">
        <f aca="true" t="shared" si="0" ref="E11:E30">COUNTA(H11:AY11)</f>
        <v>34</v>
      </c>
      <c r="F11" s="32">
        <f aca="true" t="shared" si="1" ref="F11:F30">MIN(INT(E11/10),3)</f>
        <v>3</v>
      </c>
      <c r="G11" s="33">
        <f>C_S_G($H11:AT11,$H$9:AT$9,csg_table,E$9,F11)</f>
        <v>0.9384885764499121</v>
      </c>
      <c r="H11" s="32">
        <v>1</v>
      </c>
      <c r="I11" s="32">
        <v>2</v>
      </c>
      <c r="J11" s="32">
        <v>2</v>
      </c>
      <c r="K11" s="32">
        <v>3</v>
      </c>
      <c r="L11" s="32">
        <v>3</v>
      </c>
      <c r="M11" s="32">
        <v>1</v>
      </c>
      <c r="N11" s="32">
        <v>6</v>
      </c>
      <c r="O11" s="32">
        <v>4</v>
      </c>
      <c r="P11" s="32">
        <v>3</v>
      </c>
      <c r="Q11" s="32">
        <v>5</v>
      </c>
      <c r="R11" s="32">
        <v>2</v>
      </c>
      <c r="S11" s="32">
        <v>1</v>
      </c>
      <c r="T11" s="32">
        <v>2</v>
      </c>
      <c r="U11" s="32">
        <v>4</v>
      </c>
      <c r="V11" s="32">
        <v>3</v>
      </c>
      <c r="W11" s="32">
        <v>1</v>
      </c>
      <c r="X11" s="32">
        <v>3</v>
      </c>
      <c r="Y11" s="32">
        <v>1</v>
      </c>
      <c r="Z11" s="32">
        <v>8</v>
      </c>
      <c r="AA11" s="32">
        <v>1</v>
      </c>
      <c r="AB11" s="32">
        <v>2</v>
      </c>
      <c r="AC11" s="32"/>
      <c r="AD11" s="32">
        <v>1</v>
      </c>
      <c r="AE11" s="32">
        <v>1</v>
      </c>
      <c r="AF11" s="32">
        <v>1</v>
      </c>
      <c r="AG11" s="32">
        <v>3</v>
      </c>
      <c r="AH11" s="32">
        <v>1</v>
      </c>
      <c r="AI11" s="32"/>
      <c r="AJ11" s="32">
        <v>1</v>
      </c>
      <c r="AK11" s="32">
        <v>2</v>
      </c>
      <c r="AL11" s="32">
        <v>1</v>
      </c>
      <c r="AM11" s="32">
        <v>2</v>
      </c>
      <c r="AN11" s="32">
        <v>3</v>
      </c>
      <c r="AO11" s="32">
        <v>1</v>
      </c>
      <c r="AP11" s="32">
        <v>1</v>
      </c>
      <c r="AQ11" s="32"/>
      <c r="AR11" s="32"/>
      <c r="AS11" s="32"/>
      <c r="AT11" s="32"/>
      <c r="AW11" s="39"/>
      <c r="AX11" s="39">
        <v>1</v>
      </c>
    </row>
    <row r="12" spans="2:50" ht="11.25">
      <c r="B12" s="27">
        <v>2</v>
      </c>
      <c r="C12" s="40">
        <v>23</v>
      </c>
      <c r="D12" s="39" t="s">
        <v>684</v>
      </c>
      <c r="E12" s="32">
        <f t="shared" si="0"/>
        <v>24</v>
      </c>
      <c r="F12" s="32">
        <f t="shared" si="1"/>
        <v>2</v>
      </c>
      <c r="G12" s="33">
        <f>C_S_G($H12:AT12,$H$9:AT$9,csg_table,E$9,F12)</f>
        <v>0.895693135935397</v>
      </c>
      <c r="H12" s="32">
        <v>4</v>
      </c>
      <c r="I12" s="32">
        <v>1</v>
      </c>
      <c r="J12" s="32">
        <v>4</v>
      </c>
      <c r="K12" s="32">
        <v>1</v>
      </c>
      <c r="L12" s="32">
        <v>1</v>
      </c>
      <c r="M12" s="32">
        <v>2</v>
      </c>
      <c r="N12" s="32">
        <v>8</v>
      </c>
      <c r="O12" s="32">
        <v>3</v>
      </c>
      <c r="P12" s="255">
        <v>2.51</v>
      </c>
      <c r="Q12" s="32">
        <v>1</v>
      </c>
      <c r="R12" s="32">
        <v>3</v>
      </c>
      <c r="S12" s="32">
        <v>3</v>
      </c>
      <c r="T12" s="32">
        <v>7</v>
      </c>
      <c r="U12" s="32">
        <v>1</v>
      </c>
      <c r="V12" s="32">
        <v>6</v>
      </c>
      <c r="W12" s="32">
        <v>3</v>
      </c>
      <c r="X12" s="32">
        <v>1</v>
      </c>
      <c r="Y12" s="32">
        <v>6</v>
      </c>
      <c r="Z12" s="32"/>
      <c r="AA12" s="32"/>
      <c r="AB12" s="32"/>
      <c r="AC12" s="32"/>
      <c r="AD12" s="32"/>
      <c r="AE12" s="32"/>
      <c r="AF12" s="32"/>
      <c r="AG12" s="32"/>
      <c r="AH12" s="32"/>
      <c r="AI12" s="32"/>
      <c r="AJ12" s="32"/>
      <c r="AK12" s="32"/>
      <c r="AL12" s="32"/>
      <c r="AM12" s="32"/>
      <c r="AN12" s="32"/>
      <c r="AO12" s="32"/>
      <c r="AP12" s="32"/>
      <c r="AQ12" s="32">
        <v>1</v>
      </c>
      <c r="AR12" s="32">
        <v>1</v>
      </c>
      <c r="AS12" s="32">
        <v>4</v>
      </c>
      <c r="AT12" s="32">
        <v>5</v>
      </c>
      <c r="AW12" s="39">
        <v>1</v>
      </c>
      <c r="AX12" s="39">
        <v>1</v>
      </c>
    </row>
    <row r="13" spans="2:50" ht="11.25">
      <c r="B13" s="27">
        <v>3</v>
      </c>
      <c r="C13" s="40">
        <v>182</v>
      </c>
      <c r="D13" s="39" t="s">
        <v>359</v>
      </c>
      <c r="E13" s="32">
        <f t="shared" si="0"/>
        <v>23</v>
      </c>
      <c r="F13" s="32">
        <f t="shared" si="1"/>
        <v>2</v>
      </c>
      <c r="G13" s="33">
        <f>C_S_G($H13:AT13,$H$9:AT$9,csg_table,E$9,F13)</f>
        <v>0.8711307643714467</v>
      </c>
      <c r="H13" s="32"/>
      <c r="I13" s="32"/>
      <c r="J13" s="32"/>
      <c r="K13" s="32"/>
      <c r="L13" s="32">
        <v>2</v>
      </c>
      <c r="M13" s="32" t="s">
        <v>517</v>
      </c>
      <c r="N13" s="32">
        <v>4</v>
      </c>
      <c r="O13" s="32"/>
      <c r="P13" s="32"/>
      <c r="Q13" s="32"/>
      <c r="R13" s="32"/>
      <c r="S13" s="32"/>
      <c r="T13" s="32">
        <v>4</v>
      </c>
      <c r="U13" s="32">
        <v>5</v>
      </c>
      <c r="V13" s="32">
        <v>4</v>
      </c>
      <c r="W13" s="32">
        <v>6</v>
      </c>
      <c r="X13" s="32">
        <v>2</v>
      </c>
      <c r="Y13" s="32">
        <v>4</v>
      </c>
      <c r="Z13" s="32">
        <v>2</v>
      </c>
      <c r="AA13" s="32">
        <v>2</v>
      </c>
      <c r="AB13" s="32"/>
      <c r="AC13" s="32"/>
      <c r="AD13" s="32">
        <v>2</v>
      </c>
      <c r="AE13" s="32">
        <v>2</v>
      </c>
      <c r="AF13" s="32">
        <v>2</v>
      </c>
      <c r="AG13" s="32">
        <v>2</v>
      </c>
      <c r="AH13" s="32">
        <v>2</v>
      </c>
      <c r="AI13" s="32">
        <v>1</v>
      </c>
      <c r="AJ13" s="32">
        <v>5</v>
      </c>
      <c r="AK13" s="32">
        <v>3</v>
      </c>
      <c r="AL13" s="32">
        <v>3</v>
      </c>
      <c r="AM13" s="32">
        <v>7</v>
      </c>
      <c r="AN13" s="32">
        <v>6</v>
      </c>
      <c r="AO13" s="32"/>
      <c r="AP13" s="32"/>
      <c r="AQ13" s="32"/>
      <c r="AR13" s="32"/>
      <c r="AS13" s="32"/>
      <c r="AT13" s="32"/>
      <c r="AW13" s="39">
        <v>1</v>
      </c>
      <c r="AX13" s="39"/>
    </row>
    <row r="14" spans="2:50" ht="11.25">
      <c r="B14" s="27">
        <v>4</v>
      </c>
      <c r="C14" s="40">
        <v>26</v>
      </c>
      <c r="D14" s="39" t="s">
        <v>779</v>
      </c>
      <c r="E14" s="32">
        <f t="shared" si="0"/>
        <v>19</v>
      </c>
      <c r="F14" s="32">
        <f t="shared" si="1"/>
        <v>1</v>
      </c>
      <c r="G14" s="33">
        <f>C_S_G($H14:AT14,$H$9:AT$9,csg_table,E$9,F14)</f>
        <v>0.8384057971014492</v>
      </c>
      <c r="H14" s="32">
        <v>3</v>
      </c>
      <c r="I14" s="32"/>
      <c r="J14" s="32">
        <v>6</v>
      </c>
      <c r="K14" s="32">
        <v>2</v>
      </c>
      <c r="L14" s="32">
        <v>5</v>
      </c>
      <c r="M14" s="32">
        <v>11</v>
      </c>
      <c r="N14" s="32">
        <v>3</v>
      </c>
      <c r="O14" s="32">
        <v>1</v>
      </c>
      <c r="P14" s="32">
        <v>1</v>
      </c>
      <c r="Q14" s="32">
        <v>4</v>
      </c>
      <c r="R14" s="32">
        <v>1</v>
      </c>
      <c r="S14" s="32">
        <v>2</v>
      </c>
      <c r="T14" s="32">
        <v>9</v>
      </c>
      <c r="U14" s="32">
        <v>10</v>
      </c>
      <c r="V14" s="32">
        <v>1</v>
      </c>
      <c r="W14" s="32">
        <v>7</v>
      </c>
      <c r="X14" s="32">
        <v>8</v>
      </c>
      <c r="Y14" s="32">
        <v>10</v>
      </c>
      <c r="Z14" s="32">
        <v>4</v>
      </c>
      <c r="AA14" s="32"/>
      <c r="AB14" s="32"/>
      <c r="AC14" s="32"/>
      <c r="AD14" s="32"/>
      <c r="AE14" s="32"/>
      <c r="AF14" s="32"/>
      <c r="AG14" s="32"/>
      <c r="AH14" s="32"/>
      <c r="AI14" s="32"/>
      <c r="AJ14" s="32"/>
      <c r="AK14" s="32"/>
      <c r="AL14" s="32"/>
      <c r="AM14" s="32"/>
      <c r="AN14" s="32"/>
      <c r="AO14" s="32"/>
      <c r="AP14" s="32"/>
      <c r="AQ14" s="32"/>
      <c r="AR14" s="32"/>
      <c r="AS14" s="32"/>
      <c r="AT14" s="32"/>
      <c r="AW14" s="39"/>
      <c r="AX14" s="39">
        <v>1</v>
      </c>
    </row>
    <row r="15" spans="2:50" ht="11.25">
      <c r="B15" s="27">
        <v>5</v>
      </c>
      <c r="C15" s="40">
        <v>176</v>
      </c>
      <c r="D15" s="39" t="s">
        <v>406</v>
      </c>
      <c r="E15" s="32">
        <f t="shared" si="0"/>
        <v>31</v>
      </c>
      <c r="F15" s="32">
        <f t="shared" si="1"/>
        <v>3</v>
      </c>
      <c r="G15" s="33">
        <f>C_S_G($H15:AT15,$H$9:AT$9,csg_table,E$9,F15)</f>
        <v>0.8109222050489439</v>
      </c>
      <c r="H15" s="32"/>
      <c r="I15" s="32"/>
      <c r="J15" s="32">
        <v>1</v>
      </c>
      <c r="K15" s="32">
        <v>5</v>
      </c>
      <c r="L15" s="32"/>
      <c r="M15" s="32"/>
      <c r="N15" s="32"/>
      <c r="O15" s="32">
        <v>7</v>
      </c>
      <c r="P15" s="32">
        <v>2</v>
      </c>
      <c r="Q15" s="32">
        <v>3</v>
      </c>
      <c r="R15" s="32">
        <v>4</v>
      </c>
      <c r="S15" s="32">
        <v>4</v>
      </c>
      <c r="T15" s="32">
        <v>10</v>
      </c>
      <c r="U15" s="32">
        <v>8</v>
      </c>
      <c r="V15" s="32">
        <v>10</v>
      </c>
      <c r="W15" s="32">
        <v>8</v>
      </c>
      <c r="X15" s="32">
        <v>4</v>
      </c>
      <c r="Y15" s="32">
        <v>12</v>
      </c>
      <c r="Z15" s="32"/>
      <c r="AA15" s="32"/>
      <c r="AB15" s="32">
        <v>1</v>
      </c>
      <c r="AC15" s="32">
        <v>6</v>
      </c>
      <c r="AD15" s="32">
        <v>6</v>
      </c>
      <c r="AE15" s="32">
        <v>4</v>
      </c>
      <c r="AF15" s="32">
        <v>6</v>
      </c>
      <c r="AG15" s="32">
        <v>4</v>
      </c>
      <c r="AH15" s="32">
        <v>5</v>
      </c>
      <c r="AI15" s="32">
        <v>4</v>
      </c>
      <c r="AJ15" s="32">
        <v>4</v>
      </c>
      <c r="AK15" s="32">
        <v>5</v>
      </c>
      <c r="AL15" s="32">
        <v>7</v>
      </c>
      <c r="AM15" s="32">
        <v>5</v>
      </c>
      <c r="AN15" s="32">
        <v>5</v>
      </c>
      <c r="AO15" s="32">
        <v>3</v>
      </c>
      <c r="AP15" s="32">
        <v>2</v>
      </c>
      <c r="AQ15" s="32"/>
      <c r="AR15" s="32"/>
      <c r="AS15" s="32">
        <v>1</v>
      </c>
      <c r="AT15" s="32">
        <v>1</v>
      </c>
      <c r="AW15" s="39"/>
      <c r="AX15" s="39">
        <v>1</v>
      </c>
    </row>
    <row r="16" spans="2:50" ht="11.25">
      <c r="B16" s="27">
        <v>6</v>
      </c>
      <c r="C16" s="40">
        <v>221</v>
      </c>
      <c r="D16" s="39" t="s">
        <v>407</v>
      </c>
      <c r="E16" s="32">
        <f t="shared" si="0"/>
        <v>27</v>
      </c>
      <c r="F16" s="32">
        <f t="shared" si="1"/>
        <v>2</v>
      </c>
      <c r="G16" s="33">
        <f>C_S_G($H16:AT16,$H$9:AT$9,csg_table,E$9,F16)</f>
        <v>0.8019586507072906</v>
      </c>
      <c r="H16" s="32">
        <v>2</v>
      </c>
      <c r="I16" s="32">
        <v>3</v>
      </c>
      <c r="J16" s="32">
        <v>5</v>
      </c>
      <c r="K16" s="32"/>
      <c r="L16" s="32">
        <v>7</v>
      </c>
      <c r="M16" s="32">
        <v>4</v>
      </c>
      <c r="N16" s="32">
        <v>7</v>
      </c>
      <c r="O16" s="32">
        <v>2</v>
      </c>
      <c r="P16" s="32">
        <v>6</v>
      </c>
      <c r="Q16" s="32">
        <v>2</v>
      </c>
      <c r="R16" s="32">
        <v>6</v>
      </c>
      <c r="S16" s="32">
        <v>5</v>
      </c>
      <c r="T16" s="32">
        <v>6</v>
      </c>
      <c r="U16" s="32">
        <v>6</v>
      </c>
      <c r="V16" s="32">
        <v>8</v>
      </c>
      <c r="W16" s="32">
        <v>4</v>
      </c>
      <c r="X16" s="32">
        <v>6</v>
      </c>
      <c r="Y16" s="32">
        <v>11</v>
      </c>
      <c r="Z16" s="32">
        <v>7</v>
      </c>
      <c r="AA16" s="32"/>
      <c r="AB16" s="32">
        <v>5</v>
      </c>
      <c r="AC16" s="32">
        <v>8</v>
      </c>
      <c r="AD16" s="32">
        <v>3</v>
      </c>
      <c r="AE16" s="32">
        <v>3</v>
      </c>
      <c r="AF16" s="32">
        <v>4</v>
      </c>
      <c r="AG16" s="32">
        <v>5</v>
      </c>
      <c r="AH16" s="32">
        <v>3</v>
      </c>
      <c r="AI16" s="32">
        <v>2</v>
      </c>
      <c r="AJ16" s="32"/>
      <c r="AK16" s="32"/>
      <c r="AL16" s="32"/>
      <c r="AM16" s="32"/>
      <c r="AN16" s="32"/>
      <c r="AO16" s="32"/>
      <c r="AP16" s="32"/>
      <c r="AQ16" s="32"/>
      <c r="AR16" s="32"/>
      <c r="AS16" s="32"/>
      <c r="AT16" s="32"/>
      <c r="AW16" s="39"/>
      <c r="AX16" s="39">
        <v>1</v>
      </c>
    </row>
    <row r="17" spans="2:50" ht="11.25">
      <c r="B17" s="27">
        <v>7</v>
      </c>
      <c r="C17" s="40">
        <v>54</v>
      </c>
      <c r="D17" s="39" t="s">
        <v>414</v>
      </c>
      <c r="E17" s="32">
        <f t="shared" si="0"/>
        <v>20</v>
      </c>
      <c r="F17" s="32">
        <f t="shared" si="1"/>
        <v>2</v>
      </c>
      <c r="G17" s="33">
        <f>C_S_G($H17:AT17,$H$9:AT$9,csg_table,E$9,F17)</f>
        <v>0.7915632754342432</v>
      </c>
      <c r="H17" s="32"/>
      <c r="I17" s="32"/>
      <c r="J17" s="32"/>
      <c r="K17" s="32"/>
      <c r="L17" s="32"/>
      <c r="M17" s="32"/>
      <c r="N17" s="32"/>
      <c r="O17" s="32"/>
      <c r="P17" s="32"/>
      <c r="Q17" s="32"/>
      <c r="R17" s="32"/>
      <c r="S17" s="32"/>
      <c r="T17" s="32">
        <v>11</v>
      </c>
      <c r="U17" s="32">
        <v>2</v>
      </c>
      <c r="V17" s="32"/>
      <c r="W17" s="32"/>
      <c r="X17" s="32">
        <v>7</v>
      </c>
      <c r="Y17" s="32">
        <v>3</v>
      </c>
      <c r="Z17" s="32"/>
      <c r="AA17" s="32"/>
      <c r="AB17" s="32"/>
      <c r="AC17" s="32"/>
      <c r="AD17" s="32">
        <v>5</v>
      </c>
      <c r="AE17" s="32">
        <v>6</v>
      </c>
      <c r="AF17" s="32">
        <v>5</v>
      </c>
      <c r="AG17" s="32">
        <v>1</v>
      </c>
      <c r="AH17" s="32">
        <v>6</v>
      </c>
      <c r="AI17" s="32">
        <v>3</v>
      </c>
      <c r="AJ17" s="32">
        <v>12</v>
      </c>
      <c r="AK17" s="32">
        <v>6</v>
      </c>
      <c r="AL17" s="32"/>
      <c r="AM17" s="32">
        <v>8</v>
      </c>
      <c r="AN17" s="32">
        <v>8</v>
      </c>
      <c r="AO17" s="32">
        <v>2</v>
      </c>
      <c r="AP17" s="32">
        <v>3</v>
      </c>
      <c r="AQ17" s="32">
        <v>2</v>
      </c>
      <c r="AR17" s="32">
        <v>3</v>
      </c>
      <c r="AS17" s="32">
        <v>6</v>
      </c>
      <c r="AT17" s="32">
        <v>3</v>
      </c>
      <c r="AW17" s="39"/>
      <c r="AX17" s="39"/>
    </row>
    <row r="18" spans="2:50" ht="11.25">
      <c r="B18" s="27">
        <v>8</v>
      </c>
      <c r="C18" s="40">
        <v>142</v>
      </c>
      <c r="D18" s="39" t="s">
        <v>839</v>
      </c>
      <c r="E18" s="32">
        <f t="shared" si="0"/>
        <v>28</v>
      </c>
      <c r="F18" s="32">
        <f t="shared" si="1"/>
        <v>2</v>
      </c>
      <c r="G18" s="33">
        <f>C_S_G($H18:AT18,$H$9:AT$9,csg_table,E$9,F18)</f>
        <v>0.7842926304464766</v>
      </c>
      <c r="H18" s="32">
        <v>7</v>
      </c>
      <c r="I18" s="32">
        <v>4</v>
      </c>
      <c r="J18" s="32">
        <v>3</v>
      </c>
      <c r="K18" s="32">
        <v>4</v>
      </c>
      <c r="L18" s="32"/>
      <c r="M18" s="32"/>
      <c r="N18" s="32"/>
      <c r="O18" s="32">
        <v>6</v>
      </c>
      <c r="P18" s="32">
        <v>5</v>
      </c>
      <c r="Q18" s="32">
        <v>6</v>
      </c>
      <c r="R18" s="32">
        <v>5</v>
      </c>
      <c r="S18" s="32">
        <v>6</v>
      </c>
      <c r="T18" s="32">
        <v>8</v>
      </c>
      <c r="U18" s="32">
        <v>9</v>
      </c>
      <c r="V18" s="32">
        <v>7</v>
      </c>
      <c r="W18" s="32">
        <v>5</v>
      </c>
      <c r="X18" s="32">
        <v>9</v>
      </c>
      <c r="Y18" s="32">
        <v>5</v>
      </c>
      <c r="Z18" s="32">
        <v>1</v>
      </c>
      <c r="AA18" s="32">
        <v>3</v>
      </c>
      <c r="AB18" s="32">
        <v>4</v>
      </c>
      <c r="AC18" s="32">
        <v>1</v>
      </c>
      <c r="AD18" s="32"/>
      <c r="AE18" s="32"/>
      <c r="AF18" s="32"/>
      <c r="AG18" s="32">
        <v>6</v>
      </c>
      <c r="AH18" s="32">
        <v>4</v>
      </c>
      <c r="AI18" s="32">
        <v>5</v>
      </c>
      <c r="AJ18" s="32">
        <v>10</v>
      </c>
      <c r="AK18" s="32">
        <v>4</v>
      </c>
      <c r="AL18" s="32">
        <v>9</v>
      </c>
      <c r="AM18" s="32"/>
      <c r="AN18" s="32"/>
      <c r="AO18" s="32"/>
      <c r="AP18" s="32"/>
      <c r="AQ18" s="32"/>
      <c r="AR18" s="32"/>
      <c r="AS18" s="32">
        <v>2</v>
      </c>
      <c r="AT18" s="32">
        <v>6</v>
      </c>
      <c r="AW18" s="39"/>
      <c r="AX18" s="39">
        <v>1</v>
      </c>
    </row>
    <row r="19" spans="2:50" ht="11.25">
      <c r="B19" s="27">
        <v>9</v>
      </c>
      <c r="C19" s="40">
        <v>70</v>
      </c>
      <c r="D19" s="39" t="s">
        <v>837</v>
      </c>
      <c r="E19" s="32">
        <f t="shared" si="0"/>
        <v>20</v>
      </c>
      <c r="F19" s="32">
        <f t="shared" si="1"/>
        <v>2</v>
      </c>
      <c r="G19" s="33">
        <f>C_S_G($H19:AT19,$H$9:AT$9,csg_table,E$9,F19)</f>
        <v>0.7658959537572254</v>
      </c>
      <c r="H19" s="32"/>
      <c r="I19" s="32"/>
      <c r="J19" s="32">
        <v>8</v>
      </c>
      <c r="K19" s="32">
        <v>7</v>
      </c>
      <c r="L19" s="32"/>
      <c r="M19" s="32"/>
      <c r="N19" s="32"/>
      <c r="O19" s="32">
        <v>8</v>
      </c>
      <c r="P19" s="32">
        <v>4</v>
      </c>
      <c r="Q19" s="32"/>
      <c r="R19" s="32"/>
      <c r="S19" s="32"/>
      <c r="T19" s="32">
        <v>3</v>
      </c>
      <c r="U19" s="32">
        <v>7</v>
      </c>
      <c r="V19" s="32">
        <v>11</v>
      </c>
      <c r="W19" s="32">
        <v>11</v>
      </c>
      <c r="X19" s="32">
        <v>11</v>
      </c>
      <c r="Y19" s="32">
        <v>7</v>
      </c>
      <c r="Z19" s="32">
        <v>3</v>
      </c>
      <c r="AA19" s="32"/>
      <c r="AB19" s="32"/>
      <c r="AC19" s="32"/>
      <c r="AD19" s="32"/>
      <c r="AE19" s="32"/>
      <c r="AF19" s="32"/>
      <c r="AG19" s="32"/>
      <c r="AH19" s="32"/>
      <c r="AI19" s="32"/>
      <c r="AJ19" s="32">
        <v>8</v>
      </c>
      <c r="AK19" s="32">
        <v>11</v>
      </c>
      <c r="AL19" s="32">
        <v>4</v>
      </c>
      <c r="AM19" s="32">
        <v>8</v>
      </c>
      <c r="AN19" s="32">
        <v>4</v>
      </c>
      <c r="AO19" s="32"/>
      <c r="AP19" s="32"/>
      <c r="AQ19" s="32">
        <v>3</v>
      </c>
      <c r="AR19" s="32">
        <v>2</v>
      </c>
      <c r="AS19" s="32">
        <v>3</v>
      </c>
      <c r="AT19" s="32">
        <v>4</v>
      </c>
      <c r="AW19" s="39"/>
      <c r="AX19" s="39"/>
    </row>
    <row r="20" spans="2:50" ht="11.25">
      <c r="B20" s="27">
        <v>10</v>
      </c>
      <c r="C20" s="40">
        <v>41</v>
      </c>
      <c r="D20" s="39" t="s">
        <v>417</v>
      </c>
      <c r="E20" s="32">
        <f t="shared" si="0"/>
        <v>17</v>
      </c>
      <c r="F20" s="32">
        <f t="shared" si="1"/>
        <v>1</v>
      </c>
      <c r="G20" s="33">
        <f>C_S_G($H20:AT20,$H$9:AT$9,csg_table,E$9,F20)</f>
        <v>0.7593582887700535</v>
      </c>
      <c r="H20" s="32">
        <v>6</v>
      </c>
      <c r="I20" s="32">
        <v>5</v>
      </c>
      <c r="J20" s="32"/>
      <c r="K20" s="32"/>
      <c r="L20" s="32"/>
      <c r="M20" s="32"/>
      <c r="N20" s="32"/>
      <c r="O20" s="32"/>
      <c r="P20" s="32"/>
      <c r="Q20" s="32"/>
      <c r="R20" s="32"/>
      <c r="S20" s="32"/>
      <c r="T20" s="32">
        <v>5</v>
      </c>
      <c r="U20" s="32">
        <v>11</v>
      </c>
      <c r="V20" s="32">
        <v>5</v>
      </c>
      <c r="W20" s="32">
        <v>9</v>
      </c>
      <c r="X20" s="32">
        <v>10</v>
      </c>
      <c r="Y20" s="32">
        <v>8</v>
      </c>
      <c r="Z20" s="32"/>
      <c r="AA20" s="32"/>
      <c r="AB20" s="32">
        <v>8</v>
      </c>
      <c r="AC20" s="32">
        <v>3</v>
      </c>
      <c r="AD20" s="32"/>
      <c r="AE20" s="32"/>
      <c r="AF20" s="32"/>
      <c r="AG20" s="32"/>
      <c r="AH20" s="32"/>
      <c r="AI20" s="32"/>
      <c r="AJ20" s="32"/>
      <c r="AK20" s="32"/>
      <c r="AL20" s="32"/>
      <c r="AM20" s="32">
        <v>4</v>
      </c>
      <c r="AN20" s="32">
        <v>7</v>
      </c>
      <c r="AO20" s="32"/>
      <c r="AP20" s="32"/>
      <c r="AQ20" s="32">
        <v>4</v>
      </c>
      <c r="AR20" s="32">
        <v>4</v>
      </c>
      <c r="AS20" s="32">
        <v>5</v>
      </c>
      <c r="AT20" s="32">
        <v>2</v>
      </c>
      <c r="AW20" s="39"/>
      <c r="AX20" s="39">
        <v>1</v>
      </c>
    </row>
    <row r="21" spans="2:50" ht="11.25">
      <c r="B21" s="24">
        <v>11</v>
      </c>
      <c r="C21" s="40">
        <v>117</v>
      </c>
      <c r="D21" s="39" t="s">
        <v>781</v>
      </c>
      <c r="E21" s="32">
        <f t="shared" si="0"/>
        <v>24</v>
      </c>
      <c r="F21" s="32">
        <f t="shared" si="1"/>
        <v>2</v>
      </c>
      <c r="G21" s="33">
        <f>C_S_G($H21:AT21,$H$9:AT$9,csg_table,E$9,F21)</f>
        <v>0.7079326923076923</v>
      </c>
      <c r="H21" s="32">
        <v>5</v>
      </c>
      <c r="I21" s="32">
        <v>6</v>
      </c>
      <c r="J21" s="32">
        <v>7</v>
      </c>
      <c r="K21" s="32">
        <v>6</v>
      </c>
      <c r="L21" s="32">
        <v>14</v>
      </c>
      <c r="M21" s="32">
        <v>9</v>
      </c>
      <c r="N21" s="32">
        <v>13</v>
      </c>
      <c r="O21" s="32">
        <v>9</v>
      </c>
      <c r="P21" s="32">
        <v>8</v>
      </c>
      <c r="Q21" s="32"/>
      <c r="R21" s="32"/>
      <c r="S21" s="32"/>
      <c r="T21" s="32">
        <v>12</v>
      </c>
      <c r="U21" s="32">
        <v>12</v>
      </c>
      <c r="V21" s="32">
        <v>9</v>
      </c>
      <c r="W21" s="32">
        <v>12</v>
      </c>
      <c r="X21" s="32">
        <v>12</v>
      </c>
      <c r="Y21" s="32">
        <v>14</v>
      </c>
      <c r="Z21" s="32"/>
      <c r="AA21" s="32"/>
      <c r="AB21" s="32"/>
      <c r="AC21" s="32"/>
      <c r="AD21" s="32">
        <v>4</v>
      </c>
      <c r="AE21" s="32">
        <v>5</v>
      </c>
      <c r="AF21" s="32">
        <v>3</v>
      </c>
      <c r="AG21" s="32">
        <v>7</v>
      </c>
      <c r="AH21" s="32">
        <v>7</v>
      </c>
      <c r="AI21" s="32"/>
      <c r="AJ21" s="32">
        <v>3</v>
      </c>
      <c r="AK21" s="32">
        <v>10</v>
      </c>
      <c r="AL21" s="32">
        <v>6</v>
      </c>
      <c r="AM21" s="32"/>
      <c r="AN21" s="32"/>
      <c r="AO21" s="32"/>
      <c r="AP21" s="32"/>
      <c r="AQ21" s="32"/>
      <c r="AR21" s="32"/>
      <c r="AS21" s="32"/>
      <c r="AT21" s="32"/>
      <c r="AW21" s="39"/>
      <c r="AX21" s="39">
        <v>1</v>
      </c>
    </row>
    <row r="22" spans="2:50" ht="11.25">
      <c r="B22" s="24">
        <v>12</v>
      </c>
      <c r="C22" s="40">
        <v>106</v>
      </c>
      <c r="D22" s="39" t="s">
        <v>849</v>
      </c>
      <c r="E22" s="32">
        <f t="shared" si="0"/>
        <v>23</v>
      </c>
      <c r="F22" s="32">
        <f t="shared" si="1"/>
        <v>2</v>
      </c>
      <c r="G22" s="33">
        <f>C_S_G($H22:AT22,$H$9:AT$9,csg_table,E$9,F22)</f>
        <v>0.6824907521578298</v>
      </c>
      <c r="H22" s="32"/>
      <c r="I22" s="32">
        <v>8</v>
      </c>
      <c r="J22" s="32"/>
      <c r="K22" s="32"/>
      <c r="L22" s="32">
        <v>13</v>
      </c>
      <c r="M22" s="32">
        <v>13</v>
      </c>
      <c r="N22" s="32">
        <v>12</v>
      </c>
      <c r="O22" s="32">
        <v>5</v>
      </c>
      <c r="P22" s="32">
        <v>9</v>
      </c>
      <c r="Q22" s="32">
        <v>8</v>
      </c>
      <c r="R22" s="32">
        <v>7</v>
      </c>
      <c r="S22" s="32"/>
      <c r="T22" s="32"/>
      <c r="U22" s="32">
        <v>13</v>
      </c>
      <c r="V22" s="32">
        <v>12</v>
      </c>
      <c r="W22" s="32">
        <v>10</v>
      </c>
      <c r="X22" s="32">
        <v>13</v>
      </c>
      <c r="Y22" s="32">
        <v>9</v>
      </c>
      <c r="Z22" s="32">
        <v>10</v>
      </c>
      <c r="AA22" s="32">
        <v>4</v>
      </c>
      <c r="AB22" s="32">
        <v>6</v>
      </c>
      <c r="AC22" s="32">
        <v>4</v>
      </c>
      <c r="AD22" s="32"/>
      <c r="AE22" s="32"/>
      <c r="AF22" s="32"/>
      <c r="AG22" s="32"/>
      <c r="AH22" s="32"/>
      <c r="AI22" s="32"/>
      <c r="AJ22" s="32">
        <v>9</v>
      </c>
      <c r="AK22" s="32">
        <v>12</v>
      </c>
      <c r="AL22" s="32">
        <v>8</v>
      </c>
      <c r="AM22" s="32">
        <v>11</v>
      </c>
      <c r="AN22" s="32">
        <v>10</v>
      </c>
      <c r="AO22" s="32"/>
      <c r="AP22" s="32"/>
      <c r="AQ22" s="32"/>
      <c r="AR22" s="32"/>
      <c r="AS22" s="32"/>
      <c r="AT22" s="32"/>
      <c r="AW22" s="39"/>
      <c r="AX22" s="39">
        <v>1</v>
      </c>
    </row>
    <row r="23" spans="2:50" ht="11.25">
      <c r="B23" s="277" t="s">
        <v>215</v>
      </c>
      <c r="C23" s="40">
        <v>231</v>
      </c>
      <c r="D23" s="39" t="s">
        <v>419</v>
      </c>
      <c r="E23" s="32">
        <f t="shared" si="0"/>
        <v>10</v>
      </c>
      <c r="F23" s="32">
        <f t="shared" si="1"/>
        <v>1</v>
      </c>
      <c r="G23" s="33">
        <f>C_S_G($H23:AT23,$H$9:AT$9,csg_table,E$9,F23)</f>
        <v>0.896551724137931</v>
      </c>
      <c r="H23" s="32"/>
      <c r="I23" s="32"/>
      <c r="J23" s="32"/>
      <c r="K23" s="32"/>
      <c r="L23" s="32"/>
      <c r="M23" s="32"/>
      <c r="N23" s="32"/>
      <c r="O23" s="32"/>
      <c r="P23" s="32"/>
      <c r="Q23" s="32"/>
      <c r="R23" s="32"/>
      <c r="S23" s="32"/>
      <c r="T23" s="32">
        <v>1</v>
      </c>
      <c r="U23" s="32">
        <v>3</v>
      </c>
      <c r="V23" s="32">
        <v>2</v>
      </c>
      <c r="W23" s="32">
        <v>2</v>
      </c>
      <c r="X23" s="32">
        <v>5</v>
      </c>
      <c r="Y23" s="32">
        <v>2</v>
      </c>
      <c r="Z23" s="32">
        <v>5</v>
      </c>
      <c r="AA23" s="32"/>
      <c r="AB23" s="32">
        <v>3</v>
      </c>
      <c r="AC23" s="32">
        <v>5</v>
      </c>
      <c r="AD23" s="32"/>
      <c r="AE23" s="32"/>
      <c r="AF23" s="32"/>
      <c r="AG23" s="32"/>
      <c r="AH23" s="32"/>
      <c r="AI23" s="32"/>
      <c r="AJ23" s="32"/>
      <c r="AK23" s="32"/>
      <c r="AL23" s="32"/>
      <c r="AM23" s="32"/>
      <c r="AN23" s="32"/>
      <c r="AO23" s="32"/>
      <c r="AP23" s="32"/>
      <c r="AQ23" s="32"/>
      <c r="AR23" s="32"/>
      <c r="AS23" s="32"/>
      <c r="AT23" s="32"/>
      <c r="AW23" s="39"/>
      <c r="AX23" s="39">
        <v>1</v>
      </c>
    </row>
    <row r="24" spans="2:50" ht="11.25">
      <c r="B24" s="277" t="s">
        <v>215</v>
      </c>
      <c r="C24" s="40">
        <v>38</v>
      </c>
      <c r="D24" s="39" t="s">
        <v>782</v>
      </c>
      <c r="E24" s="32">
        <f t="shared" si="0"/>
        <v>10</v>
      </c>
      <c r="F24" s="32">
        <f t="shared" si="1"/>
        <v>1</v>
      </c>
      <c r="G24" s="33">
        <f>C_S_G($H24:AT24,$H$9:AT$9,csg_table,E$9,F24)</f>
        <v>0.6712328767123288</v>
      </c>
      <c r="H24" s="32">
        <v>8</v>
      </c>
      <c r="I24" s="32"/>
      <c r="J24" s="32"/>
      <c r="K24" s="32"/>
      <c r="L24" s="32"/>
      <c r="M24" s="32"/>
      <c r="N24" s="32"/>
      <c r="O24" s="32"/>
      <c r="P24" s="32"/>
      <c r="Q24" s="32"/>
      <c r="R24" s="32"/>
      <c r="S24" s="32"/>
      <c r="T24" s="32">
        <v>14</v>
      </c>
      <c r="U24" s="32"/>
      <c r="V24" s="32"/>
      <c r="W24" s="32"/>
      <c r="X24" s="32"/>
      <c r="Y24" s="32"/>
      <c r="Z24" s="32">
        <v>9</v>
      </c>
      <c r="AA24" s="32"/>
      <c r="AB24" s="32">
        <v>9</v>
      </c>
      <c r="AC24" s="32">
        <v>7</v>
      </c>
      <c r="AD24" s="32">
        <v>7</v>
      </c>
      <c r="AE24" s="32">
        <v>7</v>
      </c>
      <c r="AF24" s="32">
        <v>7</v>
      </c>
      <c r="AG24" s="32"/>
      <c r="AH24" s="32"/>
      <c r="AI24" s="32"/>
      <c r="AJ24" s="32"/>
      <c r="AK24" s="32"/>
      <c r="AL24" s="32"/>
      <c r="AM24" s="32"/>
      <c r="AN24" s="32"/>
      <c r="AO24" s="32">
        <v>4</v>
      </c>
      <c r="AP24" s="32">
        <v>4</v>
      </c>
      <c r="AQ24" s="32"/>
      <c r="AR24" s="32"/>
      <c r="AS24" s="32"/>
      <c r="AT24" s="32"/>
      <c r="AW24" s="39"/>
      <c r="AX24" s="39"/>
    </row>
    <row r="25" spans="2:50" ht="11.25">
      <c r="B25" s="24" t="s">
        <v>215</v>
      </c>
      <c r="C25" s="40">
        <v>5</v>
      </c>
      <c r="D25" s="39" t="s">
        <v>346</v>
      </c>
      <c r="E25" s="32">
        <f t="shared" si="0"/>
        <v>13</v>
      </c>
      <c r="F25" s="32">
        <f t="shared" si="1"/>
        <v>1</v>
      </c>
      <c r="G25" s="33">
        <f>C_S_G($H25:AT25,$H$9:AT$9,csg_table,E$9,F25)</f>
        <v>0.662020905923345</v>
      </c>
      <c r="H25" s="32"/>
      <c r="I25" s="32">
        <v>7</v>
      </c>
      <c r="J25" s="32">
        <v>9</v>
      </c>
      <c r="K25" s="32">
        <v>8</v>
      </c>
      <c r="L25" s="32"/>
      <c r="M25" s="32"/>
      <c r="N25" s="32"/>
      <c r="O25" s="32"/>
      <c r="P25" s="32"/>
      <c r="Q25" s="32">
        <v>7</v>
      </c>
      <c r="R25" s="32" t="s">
        <v>299</v>
      </c>
      <c r="S25" s="32"/>
      <c r="T25" s="32">
        <v>13</v>
      </c>
      <c r="U25" s="32"/>
      <c r="V25" s="32"/>
      <c r="W25" s="32"/>
      <c r="X25" s="32">
        <v>14</v>
      </c>
      <c r="Y25" s="32">
        <v>13</v>
      </c>
      <c r="Z25" s="32">
        <v>6</v>
      </c>
      <c r="AA25" s="32">
        <v>5</v>
      </c>
      <c r="AB25" s="32"/>
      <c r="AC25" s="32"/>
      <c r="AD25" s="32"/>
      <c r="AE25" s="32"/>
      <c r="AF25" s="32"/>
      <c r="AG25" s="32"/>
      <c r="AH25" s="32"/>
      <c r="AI25" s="32"/>
      <c r="AJ25" s="32"/>
      <c r="AK25" s="32"/>
      <c r="AL25" s="32"/>
      <c r="AM25" s="32">
        <v>12</v>
      </c>
      <c r="AN25" s="32" t="s">
        <v>299</v>
      </c>
      <c r="AO25" s="32"/>
      <c r="AP25" s="32"/>
      <c r="AQ25" s="32"/>
      <c r="AR25" s="32"/>
      <c r="AS25" s="32"/>
      <c r="AT25" s="32"/>
      <c r="AW25" s="39"/>
      <c r="AX25" s="39">
        <v>1</v>
      </c>
    </row>
    <row r="26" spans="3:50" ht="11.25">
      <c r="C26" s="40">
        <v>16</v>
      </c>
      <c r="D26" s="39" t="s">
        <v>833</v>
      </c>
      <c r="E26" s="32">
        <f t="shared" si="0"/>
        <v>0</v>
      </c>
      <c r="F26" s="32">
        <f t="shared" si="1"/>
        <v>0</v>
      </c>
      <c r="G26" s="33">
        <f>C_S_G($H26:AT26,$H$9:AT$9,csg_table,E$9,F26)</f>
        <v>0</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W26" s="39"/>
      <c r="AX26" s="39"/>
    </row>
    <row r="27" spans="3:50" ht="11.25">
      <c r="C27" s="40">
        <v>22</v>
      </c>
      <c r="D27" s="39" t="s">
        <v>412</v>
      </c>
      <c r="E27" s="32">
        <f t="shared" si="0"/>
        <v>0</v>
      </c>
      <c r="F27" s="32">
        <f t="shared" si="1"/>
        <v>0</v>
      </c>
      <c r="G27" s="33">
        <f>C_S_G($H27:AT27,$H$9:AT$9,csg_table,E$9,F27)</f>
        <v>0</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W27" s="39"/>
      <c r="AX27" s="39"/>
    </row>
    <row r="28" spans="3:50" ht="11.25">
      <c r="C28" s="40">
        <v>49</v>
      </c>
      <c r="D28" s="39" t="s">
        <v>526</v>
      </c>
      <c r="E28" s="32">
        <f t="shared" si="0"/>
        <v>0</v>
      </c>
      <c r="F28" s="32">
        <f t="shared" si="1"/>
        <v>0</v>
      </c>
      <c r="G28" s="33">
        <f>C_S_G($H28:AT28,$H$9:AT$9,csg_table,E$9,F28)</f>
        <v>0</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W28" s="39"/>
      <c r="AX28" s="39"/>
    </row>
    <row r="29" spans="3:50" ht="11.25">
      <c r="C29" s="40">
        <v>183</v>
      </c>
      <c r="D29" s="39" t="s">
        <v>840</v>
      </c>
      <c r="E29" s="32">
        <f t="shared" si="0"/>
        <v>0</v>
      </c>
      <c r="F29" s="32">
        <f t="shared" si="1"/>
        <v>0</v>
      </c>
      <c r="G29" s="33">
        <f>C_S_G($H29:AT29,$H$9:AT$9,csg_table,E$9,F29)</f>
        <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W29" s="39"/>
      <c r="AX29" s="39"/>
    </row>
    <row r="30" spans="3:50" ht="11.25">
      <c r="C30" s="50">
        <v>197</v>
      </c>
      <c r="D30" s="60" t="s">
        <v>411</v>
      </c>
      <c r="E30" s="34">
        <f t="shared" si="0"/>
        <v>1</v>
      </c>
      <c r="F30" s="34">
        <f t="shared" si="1"/>
        <v>0</v>
      </c>
      <c r="G30" s="35">
        <f>C_S_G($H30:AT30,$H$9:AT$9,csg_table,E$9,F30)</f>
        <v>0</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W30" s="60"/>
      <c r="AX30" s="60">
        <v>1</v>
      </c>
    </row>
    <row r="31" spans="5:7" s="150" customFormat="1" ht="11.25">
      <c r="E31" s="69"/>
      <c r="F31" s="293"/>
      <c r="G31" s="294"/>
    </row>
    <row r="32" spans="2:6" ht="11.25">
      <c r="B32" s="191" t="s">
        <v>215</v>
      </c>
      <c r="C32" s="136">
        <f>ROUND((E9-5)*0.4,0)</f>
        <v>14</v>
      </c>
      <c r="D32" s="191" t="s">
        <v>897</v>
      </c>
      <c r="F32" s="25" t="s">
        <v>191</v>
      </c>
    </row>
  </sheetData>
  <sheetProtection/>
  <mergeCells count="10">
    <mergeCell ref="L5:N5"/>
    <mergeCell ref="O5:S5"/>
    <mergeCell ref="T5:Y5"/>
    <mergeCell ref="J5:K5"/>
    <mergeCell ref="Z5:AA5"/>
    <mergeCell ref="AQ5:AT5"/>
    <mergeCell ref="AD5:AI5"/>
    <mergeCell ref="AJ5:AN5"/>
    <mergeCell ref="AB5:AC5"/>
    <mergeCell ref="AO5:A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36"/>
  <dimension ref="A1:S27"/>
  <sheetViews>
    <sheetView zoomScalePageLayoutView="0" workbookViewId="0" topLeftCell="A1">
      <selection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8" width="10.421875" style="27" customWidth="1"/>
    <col min="9" max="19" width="4.140625" style="27" customWidth="1"/>
    <col min="20" max="16384" width="9.140625" style="27" customWidth="1"/>
  </cols>
  <sheetData>
    <row r="1" ht="11.25">
      <c r="A1" s="27" t="s">
        <v>191</v>
      </c>
    </row>
    <row r="2" ht="15.75">
      <c r="D2" s="71" t="s">
        <v>775</v>
      </c>
    </row>
    <row r="3" ht="15.75">
      <c r="D3" s="71" t="s">
        <v>889</v>
      </c>
    </row>
    <row r="4" ht="11.25">
      <c r="D4" s="27" t="s">
        <v>888</v>
      </c>
    </row>
    <row r="5" spans="8:19" ht="11.25">
      <c r="H5" s="28" t="s">
        <v>300</v>
      </c>
      <c r="I5" s="49"/>
      <c r="J5" s="49"/>
      <c r="K5" s="49"/>
      <c r="L5" s="49"/>
      <c r="M5" s="49"/>
      <c r="N5" s="49"/>
      <c r="O5" s="29"/>
      <c r="P5" s="29"/>
      <c r="Q5" s="29"/>
      <c r="R5" s="29"/>
      <c r="S5" s="30"/>
    </row>
    <row r="6" spans="4:19" ht="11.25">
      <c r="D6" s="191"/>
      <c r="H6" s="235" t="s">
        <v>825</v>
      </c>
      <c r="I6" s="53" t="s">
        <v>823</v>
      </c>
      <c r="J6" s="375" t="s">
        <v>312</v>
      </c>
      <c r="K6" s="377"/>
      <c r="L6" s="375" t="s">
        <v>873</v>
      </c>
      <c r="M6" s="376"/>
      <c r="N6" s="377"/>
      <c r="O6" s="376" t="s">
        <v>314</v>
      </c>
      <c r="P6" s="376"/>
      <c r="Q6" s="376"/>
      <c r="R6" s="376"/>
      <c r="S6" s="377"/>
    </row>
    <row r="7" spans="3:19" ht="11.25">
      <c r="C7" s="37"/>
      <c r="D7" s="126"/>
      <c r="E7" s="105"/>
      <c r="F7" s="115"/>
      <c r="G7" s="116" t="s">
        <v>184</v>
      </c>
      <c r="H7" s="62" t="s">
        <v>295</v>
      </c>
      <c r="I7" s="41" t="s">
        <v>295</v>
      </c>
      <c r="J7" s="41"/>
      <c r="K7" s="41"/>
      <c r="L7" s="41" t="s">
        <v>430</v>
      </c>
      <c r="M7" s="41" t="s">
        <v>295</v>
      </c>
      <c r="N7" s="41" t="s">
        <v>430</v>
      </c>
      <c r="O7" s="41"/>
      <c r="P7" s="41"/>
      <c r="Q7" s="41"/>
      <c r="R7" s="41"/>
      <c r="S7" s="41"/>
    </row>
    <row r="8" spans="3:19" ht="11.25">
      <c r="C8" s="39"/>
      <c r="D8" s="63"/>
      <c r="E8" s="56"/>
      <c r="F8" s="117"/>
      <c r="G8" s="118" t="s">
        <v>185</v>
      </c>
      <c r="H8" s="112">
        <v>5</v>
      </c>
      <c r="I8" s="41">
        <v>70</v>
      </c>
      <c r="J8" s="41"/>
      <c r="K8" s="41"/>
      <c r="L8" s="41">
        <v>75</v>
      </c>
      <c r="M8" s="41">
        <v>90</v>
      </c>
      <c r="N8" s="41">
        <v>190</v>
      </c>
      <c r="O8" s="41"/>
      <c r="P8" s="41"/>
      <c r="Q8" s="41"/>
      <c r="R8" s="41"/>
      <c r="S8" s="41"/>
    </row>
    <row r="9" spans="3:19" ht="11.25">
      <c r="C9" s="39"/>
      <c r="D9" s="63"/>
      <c r="E9" s="56"/>
      <c r="F9" s="117"/>
      <c r="G9" s="118" t="s">
        <v>186</v>
      </c>
      <c r="H9" s="44" t="s">
        <v>709</v>
      </c>
      <c r="I9" s="111" t="s">
        <v>822</v>
      </c>
      <c r="J9" s="43"/>
      <c r="K9" s="43"/>
      <c r="L9" s="111" t="s">
        <v>822</v>
      </c>
      <c r="M9" s="111" t="s">
        <v>822</v>
      </c>
      <c r="N9" s="111" t="s">
        <v>872</v>
      </c>
      <c r="O9" s="43"/>
      <c r="P9" s="43"/>
      <c r="Q9" s="43"/>
      <c r="R9" s="43"/>
      <c r="S9" s="43"/>
    </row>
    <row r="10" spans="3:19" ht="11.25">
      <c r="C10" s="60"/>
      <c r="D10" s="127"/>
      <c r="E10" s="56">
        <f>COUNTIF($H10:S10,"&gt;0")</f>
        <v>12</v>
      </c>
      <c r="F10" s="119"/>
      <c r="G10" s="120" t="s">
        <v>187</v>
      </c>
      <c r="H10" s="62">
        <v>8</v>
      </c>
      <c r="I10" s="41">
        <v>8</v>
      </c>
      <c r="J10" s="41">
        <v>9</v>
      </c>
      <c r="K10" s="41">
        <v>8</v>
      </c>
      <c r="L10" s="41">
        <v>14</v>
      </c>
      <c r="M10" s="41">
        <v>14</v>
      </c>
      <c r="N10" s="41">
        <v>14</v>
      </c>
      <c r="O10" s="41">
        <v>9</v>
      </c>
      <c r="P10" s="41">
        <v>9</v>
      </c>
      <c r="Q10" s="41">
        <v>8</v>
      </c>
      <c r="R10" s="41">
        <v>8</v>
      </c>
      <c r="S10" s="41">
        <v>6</v>
      </c>
    </row>
    <row r="11" spans="3:19" ht="37.5">
      <c r="C11" s="41" t="s">
        <v>451</v>
      </c>
      <c r="D11" s="124" t="s">
        <v>422</v>
      </c>
      <c r="E11" s="149" t="s">
        <v>188</v>
      </c>
      <c r="F11" s="36" t="s">
        <v>189</v>
      </c>
      <c r="G11" s="151" t="s">
        <v>190</v>
      </c>
      <c r="H11" s="236">
        <v>38134</v>
      </c>
      <c r="I11" s="36">
        <v>38141</v>
      </c>
      <c r="J11" s="36">
        <v>38155</v>
      </c>
      <c r="K11" s="36">
        <v>38155</v>
      </c>
      <c r="L11" s="36">
        <v>38163</v>
      </c>
      <c r="M11" s="36">
        <v>38163</v>
      </c>
      <c r="N11" s="254">
        <v>38163</v>
      </c>
      <c r="O11" s="36">
        <v>38169</v>
      </c>
      <c r="P11" s="36">
        <v>38169</v>
      </c>
      <c r="Q11" s="36">
        <f>P11</f>
        <v>38169</v>
      </c>
      <c r="R11" s="36">
        <v>38170</v>
      </c>
      <c r="S11" s="36">
        <v>38170</v>
      </c>
    </row>
    <row r="12" spans="2:19" ht="11.25">
      <c r="B12" s="27">
        <v>1</v>
      </c>
      <c r="C12" s="38">
        <v>23</v>
      </c>
      <c r="D12" s="37" t="s">
        <v>684</v>
      </c>
      <c r="E12" s="48">
        <f aca="true" t="shared" si="0" ref="E12:E24">COUNTA(H12:S12)</f>
        <v>12</v>
      </c>
      <c r="F12" s="48">
        <f aca="true" t="shared" si="1" ref="F12:F24">MIN(INT(E12/10),3)</f>
        <v>1</v>
      </c>
      <c r="G12" s="61">
        <f>C_S_G($H12:S12,$H$10:S$10,csg_table,E$10,F12)</f>
        <v>0.9110576923076923</v>
      </c>
      <c r="H12" s="48">
        <v>4</v>
      </c>
      <c r="I12" s="48">
        <v>1</v>
      </c>
      <c r="J12" s="48">
        <v>4</v>
      </c>
      <c r="K12" s="48">
        <v>1</v>
      </c>
      <c r="L12" s="48">
        <v>1</v>
      </c>
      <c r="M12" s="48">
        <v>2</v>
      </c>
      <c r="N12" s="217">
        <v>8</v>
      </c>
      <c r="O12" s="48">
        <v>3</v>
      </c>
      <c r="P12" s="264">
        <v>2.51</v>
      </c>
      <c r="Q12" s="48">
        <v>1</v>
      </c>
      <c r="R12" s="48">
        <v>3</v>
      </c>
      <c r="S12" s="48">
        <v>3</v>
      </c>
    </row>
    <row r="13" spans="2:19" ht="11.25">
      <c r="B13" s="27">
        <v>2</v>
      </c>
      <c r="C13" s="40">
        <v>25</v>
      </c>
      <c r="D13" s="39" t="s">
        <v>357</v>
      </c>
      <c r="E13" s="32">
        <f t="shared" si="0"/>
        <v>12</v>
      </c>
      <c r="F13" s="32">
        <f t="shared" si="1"/>
        <v>1</v>
      </c>
      <c r="G13" s="33">
        <f>C_S_G($H13:S13,$H$10:S$10,csg_table,E$10,F13)</f>
        <v>0.9050480769230769</v>
      </c>
      <c r="H13" s="32">
        <v>1</v>
      </c>
      <c r="I13" s="32">
        <v>2</v>
      </c>
      <c r="J13" s="32">
        <v>2</v>
      </c>
      <c r="K13" s="32">
        <v>3</v>
      </c>
      <c r="L13" s="32">
        <v>3</v>
      </c>
      <c r="M13" s="32">
        <v>1</v>
      </c>
      <c r="N13" s="218">
        <v>6</v>
      </c>
      <c r="O13" s="32">
        <v>4</v>
      </c>
      <c r="P13" s="32">
        <v>3</v>
      </c>
      <c r="Q13" s="32">
        <v>5</v>
      </c>
      <c r="R13" s="32">
        <v>2</v>
      </c>
      <c r="S13" s="32">
        <v>1</v>
      </c>
    </row>
    <row r="14" spans="2:19" ht="11.25">
      <c r="B14" s="27">
        <v>3</v>
      </c>
      <c r="C14" s="40">
        <v>26</v>
      </c>
      <c r="D14" s="39" t="s">
        <v>779</v>
      </c>
      <c r="E14" s="32">
        <f t="shared" si="0"/>
        <v>11</v>
      </c>
      <c r="F14" s="32">
        <f t="shared" si="1"/>
        <v>1</v>
      </c>
      <c r="G14" s="33">
        <f>C_S_G($H14:S14,$H$10:S$10,csg_table,E$10,F14)</f>
        <v>0.8907894736842106</v>
      </c>
      <c r="H14" s="32">
        <v>3</v>
      </c>
      <c r="I14" s="32"/>
      <c r="J14" s="32">
        <v>6</v>
      </c>
      <c r="K14" s="32">
        <v>2</v>
      </c>
      <c r="L14" s="32">
        <v>5</v>
      </c>
      <c r="M14" s="32">
        <v>11</v>
      </c>
      <c r="N14" s="218">
        <v>3</v>
      </c>
      <c r="O14" s="32">
        <v>1</v>
      </c>
      <c r="P14" s="32">
        <v>1</v>
      </c>
      <c r="Q14" s="32">
        <v>4</v>
      </c>
      <c r="R14" s="32">
        <v>1</v>
      </c>
      <c r="S14" s="32">
        <v>2</v>
      </c>
    </row>
    <row r="15" spans="2:19" ht="11.25">
      <c r="B15" s="27">
        <v>4</v>
      </c>
      <c r="C15" s="40">
        <v>176</v>
      </c>
      <c r="D15" s="39" t="s">
        <v>406</v>
      </c>
      <c r="E15" s="32">
        <f t="shared" si="0"/>
        <v>7</v>
      </c>
      <c r="F15" s="32">
        <f t="shared" si="1"/>
        <v>0</v>
      </c>
      <c r="G15" s="33">
        <f>C_S_G($H15:S15,$H$10:S$10,csg_table,E$10,F15)</f>
        <v>0.8353174603174603</v>
      </c>
      <c r="H15" s="32"/>
      <c r="I15" s="32"/>
      <c r="J15" s="32">
        <v>1</v>
      </c>
      <c r="K15" s="32">
        <v>5</v>
      </c>
      <c r="L15" s="32"/>
      <c r="M15" s="32"/>
      <c r="N15" s="218"/>
      <c r="O15" s="32">
        <v>7</v>
      </c>
      <c r="P15" s="32">
        <v>2</v>
      </c>
      <c r="Q15" s="32">
        <v>3</v>
      </c>
      <c r="R15" s="32">
        <v>4</v>
      </c>
      <c r="S15" s="32">
        <v>4</v>
      </c>
    </row>
    <row r="16" spans="2:19" ht="11.25">
      <c r="B16" s="27">
        <v>5</v>
      </c>
      <c r="C16" s="40">
        <v>221</v>
      </c>
      <c r="D16" s="39" t="s">
        <v>407</v>
      </c>
      <c r="E16" s="32">
        <f t="shared" si="0"/>
        <v>11</v>
      </c>
      <c r="F16" s="32">
        <f t="shared" si="1"/>
        <v>1</v>
      </c>
      <c r="G16" s="33">
        <f>C_S_G($H16:S16,$H$10:S$10,csg_table,E$10,F16)</f>
        <v>0.8205128205128205</v>
      </c>
      <c r="H16" s="32">
        <v>2</v>
      </c>
      <c r="I16" s="32">
        <v>3</v>
      </c>
      <c r="J16" s="32">
        <v>5</v>
      </c>
      <c r="K16" s="32"/>
      <c r="L16" s="32">
        <v>7</v>
      </c>
      <c r="M16" s="32">
        <v>4</v>
      </c>
      <c r="N16" s="218">
        <v>7</v>
      </c>
      <c r="O16" s="32">
        <v>2</v>
      </c>
      <c r="P16" s="32">
        <v>6</v>
      </c>
      <c r="Q16" s="32">
        <v>2</v>
      </c>
      <c r="R16" s="32">
        <v>6</v>
      </c>
      <c r="S16" s="32">
        <v>5</v>
      </c>
    </row>
    <row r="17" spans="2:19" ht="11.25">
      <c r="B17" s="27">
        <v>6</v>
      </c>
      <c r="C17" s="40">
        <v>142</v>
      </c>
      <c r="D17" s="39" t="s">
        <v>839</v>
      </c>
      <c r="E17" s="32">
        <f t="shared" si="0"/>
        <v>9</v>
      </c>
      <c r="F17" s="32">
        <f t="shared" si="1"/>
        <v>0</v>
      </c>
      <c r="G17" s="33">
        <f>C_S_G($H17:S17,$H$10:S$10,csg_table,E$10,F17)</f>
        <v>0.7623456790123457</v>
      </c>
      <c r="H17" s="32">
        <v>7</v>
      </c>
      <c r="I17" s="32">
        <v>4</v>
      </c>
      <c r="J17" s="32">
        <v>3</v>
      </c>
      <c r="K17" s="32">
        <v>4</v>
      </c>
      <c r="L17" s="32"/>
      <c r="M17" s="32"/>
      <c r="N17" s="218"/>
      <c r="O17" s="32">
        <v>6</v>
      </c>
      <c r="P17" s="32">
        <v>5</v>
      </c>
      <c r="Q17" s="32">
        <v>6</v>
      </c>
      <c r="R17" s="32">
        <v>5</v>
      </c>
      <c r="S17" s="32">
        <v>6</v>
      </c>
    </row>
    <row r="18" spans="2:19" ht="11.25">
      <c r="B18" s="27">
        <v>7</v>
      </c>
      <c r="C18" s="40">
        <v>117</v>
      </c>
      <c r="D18" s="39" t="s">
        <v>781</v>
      </c>
      <c r="E18" s="32">
        <f t="shared" si="0"/>
        <v>9</v>
      </c>
      <c r="F18" s="32">
        <f t="shared" si="1"/>
        <v>0</v>
      </c>
      <c r="G18" s="33">
        <f>C_S_G($H18:S18,$H$10:S$10,csg_table,E$10,F18)</f>
        <v>0.6888888888888889</v>
      </c>
      <c r="H18" s="32">
        <v>5</v>
      </c>
      <c r="I18" s="32">
        <v>6</v>
      </c>
      <c r="J18" s="32">
        <v>7</v>
      </c>
      <c r="K18" s="32">
        <v>6</v>
      </c>
      <c r="L18" s="32">
        <v>14</v>
      </c>
      <c r="M18" s="32">
        <v>9</v>
      </c>
      <c r="N18" s="218">
        <v>13</v>
      </c>
      <c r="O18" s="32">
        <v>9</v>
      </c>
      <c r="P18" s="32">
        <v>8</v>
      </c>
      <c r="Q18" s="32"/>
      <c r="R18" s="32"/>
      <c r="S18" s="32"/>
    </row>
    <row r="19" spans="2:19" ht="11.25">
      <c r="B19" s="27">
        <v>8</v>
      </c>
      <c r="C19" s="50">
        <v>106</v>
      </c>
      <c r="D19" s="60" t="s">
        <v>849</v>
      </c>
      <c r="E19" s="34">
        <f t="shared" si="0"/>
        <v>8</v>
      </c>
      <c r="F19" s="34">
        <f t="shared" si="1"/>
        <v>0</v>
      </c>
      <c r="G19" s="35">
        <f>C_S_G($H19:S19,$H$10:S$10,csg_table,E$10,F19)</f>
        <v>0.6692546583850931</v>
      </c>
      <c r="H19" s="34"/>
      <c r="I19" s="34">
        <v>8</v>
      </c>
      <c r="J19" s="34"/>
      <c r="K19" s="34"/>
      <c r="L19" s="34">
        <v>13</v>
      </c>
      <c r="M19" s="34">
        <v>13</v>
      </c>
      <c r="N19" s="219">
        <v>12</v>
      </c>
      <c r="O19" s="34">
        <v>5</v>
      </c>
      <c r="P19" s="34">
        <v>9</v>
      </c>
      <c r="Q19" s="34">
        <v>8</v>
      </c>
      <c r="R19" s="34">
        <v>7</v>
      </c>
      <c r="S19" s="34"/>
    </row>
    <row r="20" spans="3:19" ht="11.25">
      <c r="C20" s="40">
        <v>182</v>
      </c>
      <c r="D20" s="39" t="s">
        <v>359</v>
      </c>
      <c r="E20" s="32">
        <f t="shared" si="0"/>
        <v>3</v>
      </c>
      <c r="F20" s="32">
        <f t="shared" si="1"/>
        <v>0</v>
      </c>
      <c r="G20" s="33">
        <f>C_S_G($H20:S20,$H$10:S$10,csg_table,E$10,F20)</f>
        <v>0.7985611510791367</v>
      </c>
      <c r="H20" s="32"/>
      <c r="I20" s="32"/>
      <c r="J20" s="32"/>
      <c r="K20" s="32"/>
      <c r="L20" s="32">
        <v>2</v>
      </c>
      <c r="M20" s="32" t="s">
        <v>517</v>
      </c>
      <c r="N20" s="218">
        <v>4</v>
      </c>
      <c r="O20" s="32"/>
      <c r="P20" s="32"/>
      <c r="Q20" s="32"/>
      <c r="R20" s="32"/>
      <c r="S20" s="32"/>
    </row>
    <row r="21" spans="3:19" ht="11.25">
      <c r="C21" s="40">
        <v>41</v>
      </c>
      <c r="D21" s="39" t="s">
        <v>417</v>
      </c>
      <c r="E21" s="32">
        <f t="shared" si="0"/>
        <v>2</v>
      </c>
      <c r="F21" s="32">
        <f t="shared" si="1"/>
        <v>0</v>
      </c>
      <c r="G21" s="33">
        <f>C_S_G($H21:S21,$H$10:S$10,csg_table,E$10,F21)</f>
        <v>0.7430555555555556</v>
      </c>
      <c r="H21" s="32">
        <v>6</v>
      </c>
      <c r="I21" s="32">
        <v>5</v>
      </c>
      <c r="J21" s="32"/>
      <c r="K21" s="32"/>
      <c r="L21" s="32"/>
      <c r="M21" s="32"/>
      <c r="N21" s="218"/>
      <c r="O21" s="32"/>
      <c r="P21" s="32"/>
      <c r="Q21" s="32"/>
      <c r="R21" s="32"/>
      <c r="S21" s="32"/>
    </row>
    <row r="22" spans="3:19" ht="11.25">
      <c r="C22" s="40">
        <v>70</v>
      </c>
      <c r="D22" s="39" t="s">
        <v>837</v>
      </c>
      <c r="E22" s="32">
        <f t="shared" si="0"/>
        <v>4</v>
      </c>
      <c r="F22" s="32">
        <f t="shared" si="1"/>
        <v>0</v>
      </c>
      <c r="G22" s="33">
        <f>C_S_G($H22:S22,$H$10:S$10,csg_table,E$10,F22)</f>
        <v>0.72</v>
      </c>
      <c r="H22" s="32"/>
      <c r="I22" s="32"/>
      <c r="J22" s="32">
        <v>8</v>
      </c>
      <c r="K22" s="32">
        <v>7</v>
      </c>
      <c r="L22" s="32"/>
      <c r="M22" s="32"/>
      <c r="N22" s="218"/>
      <c r="O22" s="32">
        <v>8</v>
      </c>
      <c r="P22" s="32">
        <v>4</v>
      </c>
      <c r="Q22" s="32"/>
      <c r="R22" s="32"/>
      <c r="S22" s="32"/>
    </row>
    <row r="23" spans="3:19" ht="11.25">
      <c r="C23" s="40">
        <v>5</v>
      </c>
      <c r="D23" s="39" t="s">
        <v>831</v>
      </c>
      <c r="E23" s="32">
        <f t="shared" si="0"/>
        <v>5</v>
      </c>
      <c r="F23" s="32">
        <f t="shared" si="1"/>
        <v>0</v>
      </c>
      <c r="G23" s="33">
        <f>C_S_G($H23:S23,$H$10:S$10,csg_table,E$10,F23)</f>
        <v>0.6739130434782609</v>
      </c>
      <c r="H23" s="32"/>
      <c r="I23" s="32">
        <v>7</v>
      </c>
      <c r="J23" s="32">
        <v>9</v>
      </c>
      <c r="K23" s="32">
        <v>8</v>
      </c>
      <c r="L23" s="32"/>
      <c r="M23" s="32"/>
      <c r="N23" s="218"/>
      <c r="O23" s="32"/>
      <c r="P23" s="32"/>
      <c r="Q23" s="32">
        <v>7</v>
      </c>
      <c r="R23" s="32" t="s">
        <v>299</v>
      </c>
      <c r="S23" s="32"/>
    </row>
    <row r="24" spans="3:19" ht="11.25">
      <c r="C24" s="50">
        <v>38</v>
      </c>
      <c r="D24" s="60" t="s">
        <v>782</v>
      </c>
      <c r="E24" s="34">
        <f t="shared" si="0"/>
        <v>1</v>
      </c>
      <c r="F24" s="34">
        <f t="shared" si="1"/>
        <v>0</v>
      </c>
      <c r="G24" s="35">
        <f>C_S_G($H24:S24,$H$10:S$10,csg_table,E$10,F24)</f>
        <v>0.6666666666666666</v>
      </c>
      <c r="H24" s="34">
        <v>8</v>
      </c>
      <c r="I24" s="34"/>
      <c r="J24" s="34"/>
      <c r="K24" s="34"/>
      <c r="L24" s="34"/>
      <c r="M24" s="34"/>
      <c r="N24" s="219"/>
      <c r="O24" s="34"/>
      <c r="P24" s="34"/>
      <c r="Q24" s="34"/>
      <c r="R24" s="34"/>
      <c r="S24" s="34"/>
    </row>
    <row r="27" spans="3:4" ht="11.25">
      <c r="C27" s="27">
        <f>E10*0.5</f>
        <v>6</v>
      </c>
      <c r="D27" s="27" t="s">
        <v>1129</v>
      </c>
    </row>
  </sheetData>
  <sheetProtection/>
  <mergeCells count="3">
    <mergeCell ref="J6:K6"/>
    <mergeCell ref="L6:N6"/>
    <mergeCell ref="O6:S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37"/>
  <dimension ref="A1:AE32"/>
  <sheetViews>
    <sheetView zoomScalePageLayoutView="0" workbookViewId="0" topLeftCell="B1">
      <pane xSplit="6" ySplit="10" topLeftCell="H11" activePane="bottomRight" state="frozen"/>
      <selection pane="topLeft" activeCell="D32" sqref="D32"/>
      <selection pane="topRight" activeCell="D32" sqref="D32"/>
      <selection pane="bottomLeft" activeCell="D32" sqref="D32"/>
      <selection pane="bottomRight"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1" width="4.140625" style="27" customWidth="1"/>
    <col min="12" max="17" width="4.7109375" style="27" customWidth="1"/>
    <col min="18" max="28" width="4.140625" style="27" customWidth="1"/>
    <col min="29" max="29" width="9.140625" style="27" customWidth="1"/>
    <col min="30" max="30" width="7.7109375" style="27" customWidth="1"/>
    <col min="31" max="16384" width="9.140625" style="27" customWidth="1"/>
  </cols>
  <sheetData>
    <row r="1" ht="11.25">
      <c r="A1" s="27" t="s">
        <v>191</v>
      </c>
    </row>
    <row r="2" ht="15.75">
      <c r="D2" s="71" t="s">
        <v>896</v>
      </c>
    </row>
    <row r="3" ht="11.25">
      <c r="D3" s="27" t="s">
        <v>1125</v>
      </c>
    </row>
    <row r="4" spans="8:31" ht="11.25">
      <c r="H4" s="234" t="s">
        <v>301</v>
      </c>
      <c r="I4" s="49"/>
      <c r="J4" s="49"/>
      <c r="K4" s="49"/>
      <c r="L4" s="49"/>
      <c r="M4" s="49"/>
      <c r="N4" s="49"/>
      <c r="O4" s="49"/>
      <c r="P4" s="49"/>
      <c r="Q4" s="49"/>
      <c r="R4" s="49"/>
      <c r="S4" s="49"/>
      <c r="T4" s="49"/>
      <c r="U4" s="49"/>
      <c r="V4" s="49"/>
      <c r="W4" s="49"/>
      <c r="X4" s="49"/>
      <c r="Y4" s="29"/>
      <c r="Z4" s="29"/>
      <c r="AA4" s="29"/>
      <c r="AB4" s="30"/>
      <c r="AD4" s="104" t="s">
        <v>1110</v>
      </c>
      <c r="AE4" s="104"/>
    </row>
    <row r="5" spans="4:31" ht="11.25">
      <c r="D5" s="191"/>
      <c r="H5" s="375" t="s">
        <v>312</v>
      </c>
      <c r="I5" s="377"/>
      <c r="J5" s="376" t="s">
        <v>513</v>
      </c>
      <c r="K5" s="377"/>
      <c r="L5" s="376" t="s">
        <v>548</v>
      </c>
      <c r="M5" s="376"/>
      <c r="N5" s="376"/>
      <c r="O5" s="376"/>
      <c r="P5" s="376"/>
      <c r="Q5" s="377"/>
      <c r="R5" s="375" t="s">
        <v>776</v>
      </c>
      <c r="S5" s="376"/>
      <c r="T5" s="376"/>
      <c r="U5" s="376"/>
      <c r="V5" s="377"/>
      <c r="W5" s="375" t="s">
        <v>788</v>
      </c>
      <c r="X5" s="377"/>
      <c r="Y5" s="375" t="s">
        <v>789</v>
      </c>
      <c r="Z5" s="376"/>
      <c r="AA5" s="376"/>
      <c r="AB5" s="377"/>
      <c r="AD5" s="37"/>
      <c r="AE5" s="126"/>
    </row>
    <row r="6" spans="3:31" ht="11.25">
      <c r="C6" s="37"/>
      <c r="D6" s="126"/>
      <c r="E6" s="38"/>
      <c r="F6" s="115"/>
      <c r="G6" s="116" t="s">
        <v>184</v>
      </c>
      <c r="H6" s="50"/>
      <c r="I6" s="50"/>
      <c r="J6" s="50"/>
      <c r="K6" s="50"/>
      <c r="L6" s="50" t="s">
        <v>1078</v>
      </c>
      <c r="M6" s="50" t="s">
        <v>1078</v>
      </c>
      <c r="N6" s="50" t="s">
        <v>1078</v>
      </c>
      <c r="O6" s="50" t="s">
        <v>1078</v>
      </c>
      <c r="P6" s="50" t="s">
        <v>1078</v>
      </c>
      <c r="Q6" s="50" t="s">
        <v>1078</v>
      </c>
      <c r="R6" s="50"/>
      <c r="S6" s="50"/>
      <c r="T6" s="50"/>
      <c r="U6" s="50"/>
      <c r="V6" s="50"/>
      <c r="W6" s="50"/>
      <c r="X6" s="50"/>
      <c r="Y6" s="41" t="s">
        <v>295</v>
      </c>
      <c r="Z6" s="41" t="s">
        <v>295</v>
      </c>
      <c r="AA6" s="41" t="s">
        <v>295</v>
      </c>
      <c r="AB6" s="41" t="s">
        <v>295</v>
      </c>
      <c r="AD6" s="39"/>
      <c r="AE6" s="63"/>
    </row>
    <row r="7" spans="3:31" ht="11.25">
      <c r="C7" s="39"/>
      <c r="D7" s="63"/>
      <c r="E7" s="40"/>
      <c r="F7" s="117"/>
      <c r="G7" s="118" t="s">
        <v>185</v>
      </c>
      <c r="H7" s="41"/>
      <c r="I7" s="41"/>
      <c r="J7" s="41"/>
      <c r="K7" s="41"/>
      <c r="L7" s="41">
        <v>110</v>
      </c>
      <c r="M7" s="41">
        <v>110</v>
      </c>
      <c r="N7" s="41">
        <v>110</v>
      </c>
      <c r="O7" s="41">
        <v>110</v>
      </c>
      <c r="P7" s="41">
        <v>110</v>
      </c>
      <c r="Q7" s="41">
        <v>110</v>
      </c>
      <c r="R7" s="41"/>
      <c r="S7" s="41"/>
      <c r="T7" s="41"/>
      <c r="U7" s="41"/>
      <c r="V7" s="41"/>
      <c r="W7" s="41"/>
      <c r="X7" s="41"/>
      <c r="Y7" s="41">
        <v>90</v>
      </c>
      <c r="Z7" s="41">
        <v>90</v>
      </c>
      <c r="AA7" s="41">
        <v>160</v>
      </c>
      <c r="AB7" s="41">
        <v>160</v>
      </c>
      <c r="AD7" s="39"/>
      <c r="AE7" s="63"/>
    </row>
    <row r="8" spans="3:31" ht="11.25">
      <c r="C8" s="39"/>
      <c r="D8" s="63"/>
      <c r="E8" s="40"/>
      <c r="F8" s="117"/>
      <c r="G8" s="118" t="s">
        <v>186</v>
      </c>
      <c r="H8" s="43"/>
      <c r="I8" s="43"/>
      <c r="J8" s="43"/>
      <c r="K8" s="43"/>
      <c r="L8" s="43" t="s">
        <v>1079</v>
      </c>
      <c r="M8" s="44" t="s">
        <v>1079</v>
      </c>
      <c r="N8" s="43" t="s">
        <v>709</v>
      </c>
      <c r="O8" s="43" t="s">
        <v>1079</v>
      </c>
      <c r="P8" s="44" t="s">
        <v>1079</v>
      </c>
      <c r="Q8" s="43" t="s">
        <v>709</v>
      </c>
      <c r="R8" s="43"/>
      <c r="S8" s="43"/>
      <c r="T8" s="43"/>
      <c r="U8" s="43"/>
      <c r="V8" s="43"/>
      <c r="W8" s="43"/>
      <c r="X8" s="43"/>
      <c r="Y8" s="41" t="s">
        <v>1120</v>
      </c>
      <c r="Z8" s="41" t="s">
        <v>1120</v>
      </c>
      <c r="AA8" s="43" t="s">
        <v>716</v>
      </c>
      <c r="AB8" s="43" t="s">
        <v>1121</v>
      </c>
      <c r="AD8" s="39"/>
      <c r="AE8" s="63"/>
    </row>
    <row r="9" spans="3:31" ht="11.25">
      <c r="C9" s="60"/>
      <c r="D9" s="127"/>
      <c r="E9" s="40">
        <f>COUNTIF($H9:AB9,"&gt;=0")</f>
        <v>21</v>
      </c>
      <c r="F9" s="119"/>
      <c r="G9" s="120" t="s">
        <v>187</v>
      </c>
      <c r="H9" s="41">
        <v>10</v>
      </c>
      <c r="I9" s="41">
        <v>5</v>
      </c>
      <c r="J9" s="41">
        <v>9</v>
      </c>
      <c r="K9" s="41">
        <v>8</v>
      </c>
      <c r="L9" s="41">
        <v>7</v>
      </c>
      <c r="M9" s="41">
        <v>7</v>
      </c>
      <c r="N9" s="41">
        <v>7</v>
      </c>
      <c r="O9" s="41">
        <v>7</v>
      </c>
      <c r="P9" s="41">
        <v>7</v>
      </c>
      <c r="Q9" s="41">
        <v>5</v>
      </c>
      <c r="R9" s="41">
        <v>12</v>
      </c>
      <c r="S9" s="41">
        <v>12</v>
      </c>
      <c r="T9" s="41">
        <v>11</v>
      </c>
      <c r="U9" s="41">
        <v>12</v>
      </c>
      <c r="V9" s="41">
        <v>12</v>
      </c>
      <c r="W9" s="41">
        <v>4</v>
      </c>
      <c r="X9" s="41">
        <v>4</v>
      </c>
      <c r="Y9" s="41">
        <v>4</v>
      </c>
      <c r="Z9" s="41">
        <v>4</v>
      </c>
      <c r="AA9" s="41">
        <v>6</v>
      </c>
      <c r="AB9" s="41">
        <v>6</v>
      </c>
      <c r="AD9" s="39"/>
      <c r="AE9" s="63"/>
    </row>
    <row r="10" spans="3:31" ht="37.5">
      <c r="C10" s="41" t="s">
        <v>451</v>
      </c>
      <c r="D10" s="201" t="s">
        <v>422</v>
      </c>
      <c r="E10" s="36" t="s">
        <v>188</v>
      </c>
      <c r="F10" s="36" t="s">
        <v>189</v>
      </c>
      <c r="G10" s="151" t="s">
        <v>190</v>
      </c>
      <c r="H10" s="36">
        <v>38204</v>
      </c>
      <c r="I10" s="36">
        <v>38204</v>
      </c>
      <c r="J10" s="36">
        <v>38211</v>
      </c>
      <c r="K10" s="36">
        <v>38211</v>
      </c>
      <c r="L10" s="36">
        <v>38225</v>
      </c>
      <c r="M10" s="36">
        <v>38225</v>
      </c>
      <c r="N10" s="36">
        <v>38225</v>
      </c>
      <c r="O10" s="36">
        <v>38226</v>
      </c>
      <c r="P10" s="36">
        <v>38226</v>
      </c>
      <c r="Q10" s="36">
        <v>38226</v>
      </c>
      <c r="R10" s="36">
        <v>38239</v>
      </c>
      <c r="S10" s="36">
        <v>38239</v>
      </c>
      <c r="T10" s="36">
        <v>38239</v>
      </c>
      <c r="U10" s="36">
        <v>38240</v>
      </c>
      <c r="V10" s="36">
        <v>38240</v>
      </c>
      <c r="W10" s="36">
        <v>38260</v>
      </c>
      <c r="X10" s="36">
        <v>38260</v>
      </c>
      <c r="Y10" s="36">
        <v>38267</v>
      </c>
      <c r="Z10" s="36">
        <v>38267</v>
      </c>
      <c r="AA10" s="36">
        <v>38268</v>
      </c>
      <c r="AB10" s="36">
        <v>38268</v>
      </c>
      <c r="AD10" s="60" t="s">
        <v>742</v>
      </c>
      <c r="AE10" s="64" t="s">
        <v>744</v>
      </c>
    </row>
    <row r="11" spans="2:31" ht="11.25">
      <c r="B11" s="27">
        <v>1</v>
      </c>
      <c r="C11" s="40">
        <v>25</v>
      </c>
      <c r="D11" s="39" t="s">
        <v>357</v>
      </c>
      <c r="E11" s="32">
        <f aca="true" t="shared" si="0" ref="E11:E30">COUNTA(H11:AY11)</f>
        <v>16</v>
      </c>
      <c r="F11" s="32">
        <f aca="true" t="shared" si="1" ref="F11:F30">MIN(INT(E11/10),3)</f>
        <v>1</v>
      </c>
      <c r="G11" s="33">
        <f>C_S_G($H11:AB11,$H$9:AB$9,csg_table,E$9,F11)</f>
        <v>0.9610655737704918</v>
      </c>
      <c r="H11" s="32">
        <v>8</v>
      </c>
      <c r="I11" s="32">
        <v>1</v>
      </c>
      <c r="J11" s="32">
        <v>2</v>
      </c>
      <c r="K11" s="32"/>
      <c r="L11" s="32">
        <v>1</v>
      </c>
      <c r="M11" s="32">
        <v>1</v>
      </c>
      <c r="N11" s="32">
        <v>1</v>
      </c>
      <c r="O11" s="32">
        <v>3</v>
      </c>
      <c r="P11" s="32">
        <v>1</v>
      </c>
      <c r="Q11" s="32"/>
      <c r="R11" s="32">
        <v>1</v>
      </c>
      <c r="S11" s="32">
        <v>2</v>
      </c>
      <c r="T11" s="32">
        <v>1</v>
      </c>
      <c r="U11" s="32">
        <v>2</v>
      </c>
      <c r="V11" s="32">
        <v>3</v>
      </c>
      <c r="W11" s="32">
        <v>1</v>
      </c>
      <c r="X11" s="32">
        <v>1</v>
      </c>
      <c r="Y11" s="32"/>
      <c r="Z11" s="32"/>
      <c r="AA11" s="32"/>
      <c r="AB11" s="32"/>
      <c r="AD11" s="39"/>
      <c r="AE11" s="39">
        <v>1</v>
      </c>
    </row>
    <row r="12" spans="2:31" ht="11.25">
      <c r="B12" s="27">
        <v>2</v>
      </c>
      <c r="C12" s="40">
        <v>182</v>
      </c>
      <c r="D12" s="39" t="s">
        <v>359</v>
      </c>
      <c r="E12" s="32">
        <f t="shared" si="0"/>
        <v>14</v>
      </c>
      <c r="F12" s="32">
        <f t="shared" si="1"/>
        <v>1</v>
      </c>
      <c r="G12" s="33">
        <f>C_S_G($H12:AB12,$H$9:AB$9,csg_table,E$9,F12)</f>
        <v>0.8847497089639115</v>
      </c>
      <c r="H12" s="32">
        <v>2</v>
      </c>
      <c r="I12" s="32">
        <v>2</v>
      </c>
      <c r="J12" s="32"/>
      <c r="K12" s="32"/>
      <c r="L12" s="32">
        <v>2</v>
      </c>
      <c r="M12" s="32">
        <v>2</v>
      </c>
      <c r="N12" s="32">
        <v>2</v>
      </c>
      <c r="O12" s="32">
        <v>2</v>
      </c>
      <c r="P12" s="32">
        <v>2</v>
      </c>
      <c r="Q12" s="32">
        <v>1</v>
      </c>
      <c r="R12" s="32">
        <v>5</v>
      </c>
      <c r="S12" s="32">
        <v>3</v>
      </c>
      <c r="T12" s="32">
        <v>3</v>
      </c>
      <c r="U12" s="32">
        <v>7</v>
      </c>
      <c r="V12" s="32">
        <v>6</v>
      </c>
      <c r="W12" s="32"/>
      <c r="X12" s="32"/>
      <c r="Y12" s="32"/>
      <c r="Z12" s="32"/>
      <c r="AA12" s="32"/>
      <c r="AB12" s="32"/>
      <c r="AD12" s="39">
        <v>1</v>
      </c>
      <c r="AE12" s="39"/>
    </row>
    <row r="13" spans="2:31" ht="11.25">
      <c r="B13" s="27">
        <v>3</v>
      </c>
      <c r="C13" s="40">
        <v>176</v>
      </c>
      <c r="D13" s="39" t="s">
        <v>406</v>
      </c>
      <c r="E13" s="32">
        <f t="shared" si="0"/>
        <v>18</v>
      </c>
      <c r="F13" s="32">
        <f t="shared" si="1"/>
        <v>1</v>
      </c>
      <c r="G13" s="33">
        <f>C_S_G($H13:AB13,$H$9:AB$9,csg_table,E$9,F13)</f>
        <v>0.8166969147005445</v>
      </c>
      <c r="H13" s="32"/>
      <c r="I13" s="32"/>
      <c r="J13" s="32">
        <v>1</v>
      </c>
      <c r="K13" s="32">
        <v>6</v>
      </c>
      <c r="L13" s="32">
        <v>6</v>
      </c>
      <c r="M13" s="32">
        <v>4</v>
      </c>
      <c r="N13" s="32">
        <v>6</v>
      </c>
      <c r="O13" s="32">
        <v>4</v>
      </c>
      <c r="P13" s="32">
        <v>5</v>
      </c>
      <c r="Q13" s="32">
        <v>4</v>
      </c>
      <c r="R13" s="32">
        <v>4</v>
      </c>
      <c r="S13" s="32">
        <v>5</v>
      </c>
      <c r="T13" s="32">
        <v>7</v>
      </c>
      <c r="U13" s="32">
        <v>5</v>
      </c>
      <c r="V13" s="32">
        <v>5</v>
      </c>
      <c r="W13" s="32">
        <v>3</v>
      </c>
      <c r="X13" s="32">
        <v>2</v>
      </c>
      <c r="Y13" s="32"/>
      <c r="Z13" s="32"/>
      <c r="AA13" s="32">
        <v>1</v>
      </c>
      <c r="AB13" s="32">
        <v>1</v>
      </c>
      <c r="AD13" s="39"/>
      <c r="AE13" s="39">
        <v>1</v>
      </c>
    </row>
    <row r="14" spans="2:31" ht="11.25">
      <c r="B14" s="27">
        <v>4</v>
      </c>
      <c r="C14" s="40">
        <v>142</v>
      </c>
      <c r="D14" s="39" t="s">
        <v>839</v>
      </c>
      <c r="E14" s="32">
        <f t="shared" si="0"/>
        <v>13</v>
      </c>
      <c r="F14" s="32">
        <f t="shared" si="1"/>
        <v>1</v>
      </c>
      <c r="G14" s="33">
        <f>C_S_G($H14:AB14,$H$9:AB$9,csg_table,E$9,F14)</f>
        <v>0.8132450331125828</v>
      </c>
      <c r="H14" s="32">
        <v>1</v>
      </c>
      <c r="I14" s="32">
        <v>3</v>
      </c>
      <c r="J14" s="32">
        <v>4</v>
      </c>
      <c r="K14" s="32">
        <v>1</v>
      </c>
      <c r="L14" s="32"/>
      <c r="M14" s="32"/>
      <c r="N14" s="32"/>
      <c r="O14" s="32">
        <v>6</v>
      </c>
      <c r="P14" s="32">
        <v>4</v>
      </c>
      <c r="Q14" s="32">
        <v>5</v>
      </c>
      <c r="R14" s="32">
        <v>10</v>
      </c>
      <c r="S14" s="32">
        <v>4</v>
      </c>
      <c r="T14" s="32">
        <v>9</v>
      </c>
      <c r="U14" s="32"/>
      <c r="V14" s="32"/>
      <c r="W14" s="32"/>
      <c r="X14" s="32"/>
      <c r="Y14" s="32"/>
      <c r="Z14" s="32"/>
      <c r="AA14" s="32">
        <v>2</v>
      </c>
      <c r="AB14" s="32">
        <v>6</v>
      </c>
      <c r="AD14" s="39"/>
      <c r="AE14" s="39">
        <v>1</v>
      </c>
    </row>
    <row r="15" spans="2:31" ht="11.25">
      <c r="B15" s="27">
        <v>5</v>
      </c>
      <c r="C15" s="40">
        <v>221</v>
      </c>
      <c r="D15" s="39" t="s">
        <v>407</v>
      </c>
      <c r="E15" s="32">
        <f t="shared" si="0"/>
        <v>10</v>
      </c>
      <c r="F15" s="32">
        <f t="shared" si="1"/>
        <v>1</v>
      </c>
      <c r="G15" s="33">
        <f>C_S_G($H15:AB15,$H$9:AB$9,csg_table,E$9,F15)</f>
        <v>0.8029739776951673</v>
      </c>
      <c r="H15" s="32">
        <v>7</v>
      </c>
      <c r="I15" s="32"/>
      <c r="J15" s="32">
        <v>5</v>
      </c>
      <c r="K15" s="32">
        <v>8</v>
      </c>
      <c r="L15" s="32">
        <v>3</v>
      </c>
      <c r="M15" s="32">
        <v>3</v>
      </c>
      <c r="N15" s="32">
        <v>4</v>
      </c>
      <c r="O15" s="32">
        <v>5</v>
      </c>
      <c r="P15" s="32">
        <v>3</v>
      </c>
      <c r="Q15" s="32">
        <v>2</v>
      </c>
      <c r="R15" s="32"/>
      <c r="S15" s="32"/>
      <c r="T15" s="32"/>
      <c r="U15" s="32"/>
      <c r="V15" s="32"/>
      <c r="W15" s="32"/>
      <c r="X15" s="32"/>
      <c r="Y15" s="32"/>
      <c r="Z15" s="32"/>
      <c r="AA15" s="32"/>
      <c r="AB15" s="32"/>
      <c r="AD15" s="39"/>
      <c r="AE15" s="39">
        <v>1</v>
      </c>
    </row>
    <row r="16" spans="2:31" ht="11.25">
      <c r="B16" s="27">
        <v>6</v>
      </c>
      <c r="C16" s="40">
        <v>70</v>
      </c>
      <c r="D16" s="39" t="s">
        <v>837</v>
      </c>
      <c r="E16" s="32">
        <f t="shared" si="0"/>
        <v>10</v>
      </c>
      <c r="F16" s="32">
        <f t="shared" si="1"/>
        <v>1</v>
      </c>
      <c r="G16" s="33">
        <f>C_S_G($H16:AB16,$H$9:AB$9,csg_table,E$9,F16)</f>
        <v>0.8003169572107766</v>
      </c>
      <c r="H16" s="32">
        <v>3</v>
      </c>
      <c r="I16" s="32"/>
      <c r="J16" s="32"/>
      <c r="K16" s="32"/>
      <c r="L16" s="32"/>
      <c r="M16" s="32"/>
      <c r="N16" s="32"/>
      <c r="O16" s="32"/>
      <c r="P16" s="32"/>
      <c r="Q16" s="32"/>
      <c r="R16" s="32">
        <v>8</v>
      </c>
      <c r="S16" s="32">
        <v>11</v>
      </c>
      <c r="T16" s="32">
        <v>4</v>
      </c>
      <c r="U16" s="32">
        <v>8</v>
      </c>
      <c r="V16" s="32">
        <v>4</v>
      </c>
      <c r="W16" s="32"/>
      <c r="X16" s="32"/>
      <c r="Y16" s="32">
        <v>3</v>
      </c>
      <c r="Z16" s="32">
        <v>2</v>
      </c>
      <c r="AA16" s="32">
        <v>3</v>
      </c>
      <c r="AB16" s="32">
        <v>4</v>
      </c>
      <c r="AD16" s="39"/>
      <c r="AE16" s="39"/>
    </row>
    <row r="17" spans="2:31" ht="11.25">
      <c r="B17" s="27">
        <v>7</v>
      </c>
      <c r="C17" s="40">
        <v>54</v>
      </c>
      <c r="D17" s="39" t="s">
        <v>414</v>
      </c>
      <c r="E17" s="32">
        <f t="shared" si="0"/>
        <v>17</v>
      </c>
      <c r="F17" s="32">
        <f t="shared" si="1"/>
        <v>1</v>
      </c>
      <c r="G17" s="33">
        <f>C_S_G($H17:AB17,$H$9:AB$9,csg_table,E$9,F17)</f>
        <v>0.7711229946524064</v>
      </c>
      <c r="H17" s="32"/>
      <c r="I17" s="32"/>
      <c r="J17" s="32"/>
      <c r="K17" s="32"/>
      <c r="L17" s="32">
        <v>5</v>
      </c>
      <c r="M17" s="32">
        <v>6</v>
      </c>
      <c r="N17" s="32">
        <v>5</v>
      </c>
      <c r="O17" s="32">
        <v>1</v>
      </c>
      <c r="P17" s="32">
        <v>6</v>
      </c>
      <c r="Q17" s="32">
        <v>3</v>
      </c>
      <c r="R17" s="32">
        <v>12</v>
      </c>
      <c r="S17" s="32">
        <v>6</v>
      </c>
      <c r="T17" s="32" t="s">
        <v>1102</v>
      </c>
      <c r="U17" s="32">
        <v>8</v>
      </c>
      <c r="V17" s="32">
        <v>8</v>
      </c>
      <c r="W17" s="32">
        <v>2</v>
      </c>
      <c r="X17" s="32">
        <v>3</v>
      </c>
      <c r="Y17" s="32">
        <v>2</v>
      </c>
      <c r="Z17" s="32">
        <v>3</v>
      </c>
      <c r="AA17" s="32">
        <v>6</v>
      </c>
      <c r="AB17" s="32">
        <v>3</v>
      </c>
      <c r="AD17" s="39"/>
      <c r="AE17" s="39"/>
    </row>
    <row r="18" spans="2:31" ht="11.25">
      <c r="B18" s="27">
        <v>8</v>
      </c>
      <c r="C18" s="40">
        <v>41</v>
      </c>
      <c r="D18" s="39" t="s">
        <v>417</v>
      </c>
      <c r="E18" s="32">
        <f t="shared" si="0"/>
        <v>9</v>
      </c>
      <c r="F18" s="32">
        <f t="shared" si="1"/>
        <v>0</v>
      </c>
      <c r="G18" s="33">
        <f>C_S_G($H18:AB18,$H$9:AB$9,csg_table,E$9,F18)</f>
        <v>0.7708333333333334</v>
      </c>
      <c r="H18" s="32"/>
      <c r="I18" s="32"/>
      <c r="J18" s="32">
        <v>8</v>
      </c>
      <c r="K18" s="32">
        <v>3</v>
      </c>
      <c r="L18" s="32"/>
      <c r="M18" s="32"/>
      <c r="N18" s="32"/>
      <c r="O18" s="32"/>
      <c r="P18" s="32"/>
      <c r="Q18" s="32"/>
      <c r="R18" s="32"/>
      <c r="S18" s="32"/>
      <c r="T18" s="32"/>
      <c r="U18" s="32">
        <v>4</v>
      </c>
      <c r="V18" s="32">
        <v>7</v>
      </c>
      <c r="W18" s="32"/>
      <c r="X18" s="32"/>
      <c r="Y18" s="32">
        <v>4</v>
      </c>
      <c r="Z18" s="32">
        <v>4</v>
      </c>
      <c r="AA18" s="32">
        <v>5</v>
      </c>
      <c r="AB18" s="32">
        <v>2</v>
      </c>
      <c r="AD18" s="39"/>
      <c r="AE18" s="39">
        <v>1</v>
      </c>
    </row>
    <row r="19" spans="2:31" ht="11.25">
      <c r="B19" s="27">
        <v>9</v>
      </c>
      <c r="C19" s="40">
        <v>117</v>
      </c>
      <c r="D19" s="39" t="s">
        <v>781</v>
      </c>
      <c r="E19" s="32">
        <f t="shared" si="0"/>
        <v>9</v>
      </c>
      <c r="F19" s="32">
        <f t="shared" si="1"/>
        <v>0</v>
      </c>
      <c r="G19" s="33">
        <f>C_S_G($H19:AB19,$H$9:AB$9,csg_table,E$9,F19)</f>
        <v>0.7568027210884354</v>
      </c>
      <c r="H19" s="32"/>
      <c r="I19" s="32"/>
      <c r="J19" s="32"/>
      <c r="K19" s="32"/>
      <c r="L19" s="32">
        <v>4</v>
      </c>
      <c r="M19" s="32">
        <v>5</v>
      </c>
      <c r="N19" s="32">
        <v>3</v>
      </c>
      <c r="O19" s="32">
        <v>7</v>
      </c>
      <c r="P19" s="32">
        <v>7</v>
      </c>
      <c r="Q19" s="32"/>
      <c r="R19" s="32">
        <v>3</v>
      </c>
      <c r="S19" s="32">
        <v>10</v>
      </c>
      <c r="T19" s="32">
        <v>6</v>
      </c>
      <c r="U19" s="32"/>
      <c r="V19" s="32"/>
      <c r="W19" s="32"/>
      <c r="X19" s="32"/>
      <c r="Y19" s="32"/>
      <c r="Z19" s="32"/>
      <c r="AA19" s="32"/>
      <c r="AB19" s="32"/>
      <c r="AD19" s="39"/>
      <c r="AE19" s="39">
        <v>1</v>
      </c>
    </row>
    <row r="20" spans="2:31" ht="11.25">
      <c r="B20" s="24">
        <v>10</v>
      </c>
      <c r="C20" s="40">
        <v>106</v>
      </c>
      <c r="D20" s="39" t="s">
        <v>849</v>
      </c>
      <c r="E20" s="32">
        <f t="shared" si="0"/>
        <v>10</v>
      </c>
      <c r="F20" s="32">
        <f t="shared" si="1"/>
        <v>1</v>
      </c>
      <c r="G20" s="33">
        <f>C_S_G($H20:AB20,$H$9:AB$9,csg_table,E$9,F20)</f>
        <v>0.7056</v>
      </c>
      <c r="H20" s="32">
        <v>10</v>
      </c>
      <c r="I20" s="32">
        <v>4</v>
      </c>
      <c r="J20" s="32">
        <v>6</v>
      </c>
      <c r="K20" s="32">
        <v>4</v>
      </c>
      <c r="L20" s="32"/>
      <c r="M20" s="32"/>
      <c r="N20" s="32"/>
      <c r="O20" s="32"/>
      <c r="P20" s="32"/>
      <c r="Q20" s="32"/>
      <c r="R20" s="32">
        <v>9</v>
      </c>
      <c r="S20" s="32">
        <v>12</v>
      </c>
      <c r="T20" s="32">
        <v>8</v>
      </c>
      <c r="U20" s="32">
        <v>11</v>
      </c>
      <c r="V20" s="32">
        <v>10</v>
      </c>
      <c r="W20" s="32"/>
      <c r="X20" s="32"/>
      <c r="Y20" s="32"/>
      <c r="Z20" s="32"/>
      <c r="AA20" s="32"/>
      <c r="AB20" s="32"/>
      <c r="AD20" s="39"/>
      <c r="AE20" s="39">
        <v>1</v>
      </c>
    </row>
    <row r="21" spans="2:31" ht="11.25">
      <c r="B21" s="24">
        <v>11</v>
      </c>
      <c r="C21" s="40">
        <v>38</v>
      </c>
      <c r="D21" s="39" t="s">
        <v>782</v>
      </c>
      <c r="E21" s="32">
        <f t="shared" si="0"/>
        <v>8</v>
      </c>
      <c r="F21" s="32">
        <f t="shared" si="1"/>
        <v>0</v>
      </c>
      <c r="G21" s="33">
        <f>C_S_G($H21:AB21,$H$9:AB$9,csg_table,E$9,F21)</f>
        <v>0.671875</v>
      </c>
      <c r="H21" s="32">
        <v>9</v>
      </c>
      <c r="I21" s="32"/>
      <c r="J21" s="32">
        <v>9</v>
      </c>
      <c r="K21" s="32">
        <v>7</v>
      </c>
      <c r="L21" s="32">
        <v>7</v>
      </c>
      <c r="M21" s="32">
        <v>7</v>
      </c>
      <c r="N21" s="32">
        <v>7</v>
      </c>
      <c r="O21" s="32"/>
      <c r="P21" s="32"/>
      <c r="Q21" s="32"/>
      <c r="R21" s="32"/>
      <c r="S21" s="32"/>
      <c r="T21" s="32"/>
      <c r="U21" s="32"/>
      <c r="V21" s="32"/>
      <c r="W21" s="32">
        <v>4</v>
      </c>
      <c r="X21" s="32">
        <v>4</v>
      </c>
      <c r="Y21" s="32"/>
      <c r="Z21" s="32"/>
      <c r="AA21" s="32"/>
      <c r="AB21" s="32"/>
      <c r="AD21" s="39"/>
      <c r="AE21" s="39"/>
    </row>
    <row r="22" spans="2:31" ht="11.25">
      <c r="B22" s="24">
        <v>12</v>
      </c>
      <c r="C22" s="40">
        <v>23</v>
      </c>
      <c r="D22" s="39" t="s">
        <v>684</v>
      </c>
      <c r="E22" s="32">
        <f t="shared" si="0"/>
        <v>6</v>
      </c>
      <c r="F22" s="32">
        <f t="shared" si="1"/>
        <v>0</v>
      </c>
      <c r="G22" s="33">
        <f>C_S_G($H22:AB22,$H$9:AB$9,csg_table,E$9,F22)</f>
        <v>0.8495145631067961</v>
      </c>
      <c r="H22" s="32"/>
      <c r="I22" s="32"/>
      <c r="J22" s="32"/>
      <c r="K22" s="32"/>
      <c r="L22" s="32"/>
      <c r="M22" s="32"/>
      <c r="N22" s="32"/>
      <c r="O22" s="32"/>
      <c r="P22" s="32"/>
      <c r="Q22" s="32"/>
      <c r="R22" s="32"/>
      <c r="S22" s="32"/>
      <c r="T22" s="32"/>
      <c r="U22" s="32"/>
      <c r="V22" s="32"/>
      <c r="W22" s="32"/>
      <c r="X22" s="32"/>
      <c r="Y22" s="32">
        <v>1</v>
      </c>
      <c r="Z22" s="32">
        <v>1</v>
      </c>
      <c r="AA22" s="32">
        <v>4</v>
      </c>
      <c r="AB22" s="32">
        <v>5</v>
      </c>
      <c r="AD22" s="39">
        <v>1</v>
      </c>
      <c r="AE22" s="39">
        <v>1</v>
      </c>
    </row>
    <row r="23" spans="2:31" ht="11.25">
      <c r="B23" s="24" t="s">
        <v>215</v>
      </c>
      <c r="C23" s="40">
        <v>5</v>
      </c>
      <c r="D23" s="39" t="s">
        <v>831</v>
      </c>
      <c r="E23" s="32">
        <f t="shared" si="0"/>
        <v>5</v>
      </c>
      <c r="F23" s="32">
        <f t="shared" si="1"/>
        <v>0</v>
      </c>
      <c r="G23" s="33">
        <f>C_S_G($H23:AB23,$H$9:AB$9,csg_table,E$9,F23)</f>
        <v>0.6666666666666666</v>
      </c>
      <c r="H23" s="32">
        <v>6</v>
      </c>
      <c r="I23" s="32">
        <v>5</v>
      </c>
      <c r="J23" s="32"/>
      <c r="K23" s="32"/>
      <c r="L23" s="32"/>
      <c r="M23" s="32"/>
      <c r="N23" s="32"/>
      <c r="O23" s="32"/>
      <c r="P23" s="32"/>
      <c r="Q23" s="32"/>
      <c r="R23" s="32"/>
      <c r="S23" s="32"/>
      <c r="T23" s="32"/>
      <c r="U23" s="32">
        <v>12</v>
      </c>
      <c r="V23" s="32" t="s">
        <v>299</v>
      </c>
      <c r="W23" s="32"/>
      <c r="X23" s="32"/>
      <c r="Y23" s="32"/>
      <c r="Z23" s="32"/>
      <c r="AA23" s="32"/>
      <c r="AB23" s="32"/>
      <c r="AD23" s="39"/>
      <c r="AE23" s="39">
        <v>1</v>
      </c>
    </row>
    <row r="24" spans="2:31" ht="11.25">
      <c r="B24" s="24" t="s">
        <v>215</v>
      </c>
      <c r="C24" s="40">
        <v>231</v>
      </c>
      <c r="D24" s="39" t="s">
        <v>419</v>
      </c>
      <c r="E24" s="32">
        <f t="shared" si="0"/>
        <v>4</v>
      </c>
      <c r="F24" s="32">
        <f t="shared" si="1"/>
        <v>0</v>
      </c>
      <c r="G24" s="33">
        <f>C_S_G($H24:AB24,$H$9:AB$9,csg_table,E$9,F24)</f>
        <v>0.8070175438596491</v>
      </c>
      <c r="H24" s="32">
        <v>5</v>
      </c>
      <c r="I24" s="32"/>
      <c r="J24" s="32">
        <v>3</v>
      </c>
      <c r="K24" s="32">
        <v>5</v>
      </c>
      <c r="L24" s="32"/>
      <c r="M24" s="32"/>
      <c r="N24" s="32"/>
      <c r="O24" s="32"/>
      <c r="P24" s="32"/>
      <c r="Q24" s="32"/>
      <c r="R24" s="32"/>
      <c r="S24" s="32"/>
      <c r="T24" s="32"/>
      <c r="U24" s="32"/>
      <c r="V24" s="32"/>
      <c r="W24" s="32"/>
      <c r="X24" s="32"/>
      <c r="Y24" s="32"/>
      <c r="Z24" s="32"/>
      <c r="AA24" s="32"/>
      <c r="AB24" s="32"/>
      <c r="AD24" s="39"/>
      <c r="AE24" s="39">
        <v>1</v>
      </c>
    </row>
    <row r="25" spans="2:31" ht="11.25">
      <c r="B25" s="24" t="s">
        <v>215</v>
      </c>
      <c r="C25" s="40">
        <v>26</v>
      </c>
      <c r="D25" s="39" t="s">
        <v>779</v>
      </c>
      <c r="E25" s="32">
        <f t="shared" si="0"/>
        <v>2</v>
      </c>
      <c r="F25" s="32">
        <f t="shared" si="1"/>
        <v>0</v>
      </c>
      <c r="G25" s="33">
        <f>C_S_G($H25:AB25,$H$9:AB$9,csg_table,E$9,F25)</f>
        <v>0.85</v>
      </c>
      <c r="H25" s="32">
        <v>4</v>
      </c>
      <c r="I25" s="32"/>
      <c r="J25" s="32"/>
      <c r="K25" s="32"/>
      <c r="L25" s="32"/>
      <c r="M25" s="32"/>
      <c r="N25" s="32"/>
      <c r="O25" s="32"/>
      <c r="P25" s="32"/>
      <c r="Q25" s="32"/>
      <c r="R25" s="32"/>
      <c r="S25" s="32"/>
      <c r="T25" s="32"/>
      <c r="U25" s="32"/>
      <c r="V25" s="32"/>
      <c r="W25" s="32"/>
      <c r="X25" s="32"/>
      <c r="Y25" s="32"/>
      <c r="Z25" s="32"/>
      <c r="AA25" s="32"/>
      <c r="AB25" s="32"/>
      <c r="AD25" s="39"/>
      <c r="AE25" s="39">
        <v>1</v>
      </c>
    </row>
    <row r="26" spans="3:31" ht="11.25">
      <c r="C26" s="40">
        <v>197</v>
      </c>
      <c r="D26" s="39" t="s">
        <v>411</v>
      </c>
      <c r="E26" s="32">
        <f t="shared" si="0"/>
        <v>1</v>
      </c>
      <c r="F26" s="32">
        <f t="shared" si="1"/>
        <v>0</v>
      </c>
      <c r="G26" s="33">
        <f>C_S_G($H26:AB26,$H$9:AB$9,csg_table,E$9,F26)</f>
        <v>0</v>
      </c>
      <c r="H26" s="32"/>
      <c r="I26" s="32"/>
      <c r="J26" s="32"/>
      <c r="K26" s="32"/>
      <c r="L26" s="32"/>
      <c r="M26" s="32"/>
      <c r="N26" s="32"/>
      <c r="O26" s="32"/>
      <c r="P26" s="32"/>
      <c r="Q26" s="32"/>
      <c r="R26" s="32"/>
      <c r="S26" s="32"/>
      <c r="T26" s="32"/>
      <c r="U26" s="32"/>
      <c r="V26" s="32"/>
      <c r="W26" s="32"/>
      <c r="X26" s="32"/>
      <c r="Y26" s="32"/>
      <c r="Z26" s="32"/>
      <c r="AA26" s="32"/>
      <c r="AB26" s="32"/>
      <c r="AD26" s="39"/>
      <c r="AE26" s="39">
        <v>1</v>
      </c>
    </row>
    <row r="27" spans="3:31" ht="11.25">
      <c r="C27" s="40">
        <v>16</v>
      </c>
      <c r="D27" s="39" t="s">
        <v>833</v>
      </c>
      <c r="E27" s="32">
        <f t="shared" si="0"/>
        <v>0</v>
      </c>
      <c r="F27" s="32">
        <f t="shared" si="1"/>
        <v>0</v>
      </c>
      <c r="G27" s="33">
        <f>C_S_G($H27:AB27,$H$9:AB$9,csg_table,E$9,F27)</f>
        <v>0</v>
      </c>
      <c r="H27" s="32"/>
      <c r="I27" s="32"/>
      <c r="J27" s="32"/>
      <c r="K27" s="32"/>
      <c r="L27" s="32"/>
      <c r="M27" s="32"/>
      <c r="N27" s="32"/>
      <c r="O27" s="32"/>
      <c r="P27" s="32"/>
      <c r="Q27" s="32"/>
      <c r="R27" s="32"/>
      <c r="S27" s="32"/>
      <c r="T27" s="32"/>
      <c r="U27" s="32"/>
      <c r="V27" s="32"/>
      <c r="W27" s="32"/>
      <c r="X27" s="32"/>
      <c r="Y27" s="32"/>
      <c r="Z27" s="32"/>
      <c r="AA27" s="32"/>
      <c r="AB27" s="32"/>
      <c r="AD27" s="39"/>
      <c r="AE27" s="39"/>
    </row>
    <row r="28" spans="3:31" ht="11.25">
      <c r="C28" s="40">
        <v>22</v>
      </c>
      <c r="D28" s="39" t="s">
        <v>412</v>
      </c>
      <c r="E28" s="32">
        <f t="shared" si="0"/>
        <v>0</v>
      </c>
      <c r="F28" s="32">
        <f t="shared" si="1"/>
        <v>0</v>
      </c>
      <c r="G28" s="33">
        <f>C_S_G($H28:AB28,$H$9:AB$9,csg_table,E$9,F28)</f>
        <v>0</v>
      </c>
      <c r="H28" s="32"/>
      <c r="I28" s="32"/>
      <c r="J28" s="32"/>
      <c r="K28" s="32"/>
      <c r="L28" s="32"/>
      <c r="M28" s="32"/>
      <c r="N28" s="32"/>
      <c r="O28" s="32"/>
      <c r="P28" s="32"/>
      <c r="Q28" s="32"/>
      <c r="R28" s="32"/>
      <c r="S28" s="32"/>
      <c r="T28" s="32"/>
      <c r="U28" s="32"/>
      <c r="V28" s="32"/>
      <c r="W28" s="32"/>
      <c r="X28" s="32"/>
      <c r="Y28" s="32"/>
      <c r="Z28" s="32"/>
      <c r="AA28" s="32"/>
      <c r="AB28" s="32"/>
      <c r="AD28" s="39"/>
      <c r="AE28" s="39"/>
    </row>
    <row r="29" spans="3:31" ht="11.25">
      <c r="C29" s="40">
        <v>49</v>
      </c>
      <c r="D29" s="39" t="s">
        <v>526</v>
      </c>
      <c r="E29" s="32">
        <f t="shared" si="0"/>
        <v>0</v>
      </c>
      <c r="F29" s="32">
        <f t="shared" si="1"/>
        <v>0</v>
      </c>
      <c r="G29" s="33">
        <f>C_S_G($H29:AB29,$H$9:AB$9,csg_table,E$9,F29)</f>
        <v>0</v>
      </c>
      <c r="H29" s="32"/>
      <c r="I29" s="32"/>
      <c r="J29" s="32"/>
      <c r="K29" s="32"/>
      <c r="L29" s="32"/>
      <c r="M29" s="32"/>
      <c r="N29" s="32"/>
      <c r="O29" s="32"/>
      <c r="P29" s="32"/>
      <c r="Q29" s="32"/>
      <c r="R29" s="32"/>
      <c r="S29" s="32"/>
      <c r="T29" s="32"/>
      <c r="U29" s="32"/>
      <c r="V29" s="32"/>
      <c r="W29" s="32"/>
      <c r="X29" s="32"/>
      <c r="Y29" s="32"/>
      <c r="Z29" s="32"/>
      <c r="AA29" s="32"/>
      <c r="AB29" s="32"/>
      <c r="AD29" s="39"/>
      <c r="AE29" s="39"/>
    </row>
    <row r="30" spans="3:31" ht="11.25">
      <c r="C30" s="50">
        <v>183</v>
      </c>
      <c r="D30" s="60" t="s">
        <v>840</v>
      </c>
      <c r="E30" s="34">
        <f t="shared" si="0"/>
        <v>0</v>
      </c>
      <c r="F30" s="34">
        <f t="shared" si="1"/>
        <v>0</v>
      </c>
      <c r="G30" s="35">
        <f>C_S_G($H30:AB30,$H$9:AB$9,csg_table,E$9,F30)</f>
        <v>0</v>
      </c>
      <c r="H30" s="34"/>
      <c r="I30" s="34"/>
      <c r="J30" s="34"/>
      <c r="K30" s="34"/>
      <c r="L30" s="34"/>
      <c r="M30" s="34"/>
      <c r="N30" s="34"/>
      <c r="O30" s="34"/>
      <c r="P30" s="34"/>
      <c r="Q30" s="34"/>
      <c r="R30" s="34"/>
      <c r="S30" s="34"/>
      <c r="T30" s="34"/>
      <c r="U30" s="34"/>
      <c r="V30" s="34"/>
      <c r="W30" s="34"/>
      <c r="X30" s="34"/>
      <c r="Y30" s="34"/>
      <c r="Z30" s="34"/>
      <c r="AA30" s="34"/>
      <c r="AB30" s="34"/>
      <c r="AD30" s="60"/>
      <c r="AE30" s="60"/>
    </row>
    <row r="31" spans="30:31" ht="11.25">
      <c r="AD31" s="150"/>
      <c r="AE31" s="150"/>
    </row>
    <row r="32" spans="2:4" ht="11.25">
      <c r="B32" s="27" t="s">
        <v>215</v>
      </c>
      <c r="C32" s="27">
        <f>ROUND((E9-5)*0.5,0)</f>
        <v>8</v>
      </c>
      <c r="D32" s="27" t="s">
        <v>1082</v>
      </c>
    </row>
  </sheetData>
  <sheetProtection/>
  <mergeCells count="6">
    <mergeCell ref="H5:I5"/>
    <mergeCell ref="J5:K5"/>
    <mergeCell ref="L5:Q5"/>
    <mergeCell ref="Y5:AB5"/>
    <mergeCell ref="R5:V5"/>
    <mergeCell ref="W5:X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38"/>
  <dimension ref="A1:I23"/>
  <sheetViews>
    <sheetView zoomScalePageLayoutView="0" workbookViewId="0" topLeftCell="A1">
      <selection activeCell="D32" sqref="D32"/>
    </sheetView>
  </sheetViews>
  <sheetFormatPr defaultColWidth="9.140625" defaultRowHeight="12.75"/>
  <cols>
    <col min="1" max="1" width="4.8515625" style="3" customWidth="1"/>
    <col min="2" max="3" width="9.140625" style="11" customWidth="1"/>
    <col min="4" max="4" width="29.8515625" style="3" bestFit="1" customWidth="1"/>
    <col min="5" max="6" width="8.140625" style="11" customWidth="1"/>
    <col min="7" max="16384" width="9.140625" style="3" customWidth="1"/>
  </cols>
  <sheetData>
    <row r="1" spans="1:9" ht="12.75">
      <c r="A1" s="144"/>
      <c r="B1" s="143"/>
      <c r="C1" s="143"/>
      <c r="D1" s="144"/>
      <c r="E1" s="143"/>
      <c r="F1" s="143"/>
      <c r="G1" s="144"/>
      <c r="H1" s="144"/>
      <c r="I1" s="144"/>
    </row>
    <row r="2" spans="1:9" ht="15.75">
      <c r="A2" s="144"/>
      <c r="B2" s="21" t="s">
        <v>785</v>
      </c>
      <c r="C2" s="21"/>
      <c r="D2" s="144"/>
      <c r="E2" s="143"/>
      <c r="F2" s="143"/>
      <c r="G2" s="144"/>
      <c r="H2" s="144"/>
      <c r="I2" s="144"/>
    </row>
    <row r="3" spans="1:9" ht="15">
      <c r="A3" s="144"/>
      <c r="B3" s="251" t="s">
        <v>786</v>
      </c>
      <c r="C3" s="252"/>
      <c r="D3" s="144"/>
      <c r="E3" s="143"/>
      <c r="F3" s="143"/>
      <c r="G3" s="144"/>
      <c r="H3" s="144"/>
      <c r="I3" s="144"/>
    </row>
    <row r="4" spans="1:9" ht="12.75">
      <c r="A4" s="144"/>
      <c r="B4" s="253" t="s">
        <v>784</v>
      </c>
      <c r="C4" s="145"/>
      <c r="D4" s="144"/>
      <c r="E4" s="143"/>
      <c r="F4" s="143"/>
      <c r="G4" s="144"/>
      <c r="H4" s="144"/>
      <c r="I4" s="144"/>
    </row>
    <row r="5" spans="1:9" ht="12.75">
      <c r="A5" s="144"/>
      <c r="B5" s="145"/>
      <c r="C5" s="145"/>
      <c r="D5" s="144"/>
      <c r="E5" s="143"/>
      <c r="F5" s="143"/>
      <c r="G5" s="144"/>
      <c r="H5" s="144"/>
      <c r="I5" s="144"/>
    </row>
    <row r="6" spans="1:9" ht="12.75" customHeight="1">
      <c r="A6" s="144"/>
      <c r="B6" s="142" t="s">
        <v>783</v>
      </c>
      <c r="C6" s="145"/>
      <c r="D6" s="144"/>
      <c r="E6" s="143"/>
      <c r="F6" s="143"/>
      <c r="G6" s="144"/>
      <c r="H6" s="144"/>
      <c r="I6" s="144"/>
    </row>
    <row r="7" spans="1:9" ht="12.75" customHeight="1">
      <c r="A7" s="144"/>
      <c r="B7" s="143"/>
      <c r="C7" s="143"/>
      <c r="D7" s="144"/>
      <c r="E7" s="143"/>
      <c r="F7" s="143"/>
      <c r="G7" s="144"/>
      <c r="H7" s="144"/>
      <c r="I7" s="144"/>
    </row>
    <row r="8" spans="1:9" ht="12.75">
      <c r="A8" s="144"/>
      <c r="B8" s="237" t="s">
        <v>351</v>
      </c>
      <c r="C8" s="237" t="s">
        <v>451</v>
      </c>
      <c r="D8" s="237" t="s">
        <v>780</v>
      </c>
      <c r="E8" s="237" t="s">
        <v>291</v>
      </c>
      <c r="F8" s="237" t="s">
        <v>294</v>
      </c>
      <c r="G8" s="144"/>
      <c r="H8" s="144"/>
      <c r="I8" s="144"/>
    </row>
    <row r="9" spans="1:9" ht="12.75">
      <c r="A9" s="144"/>
      <c r="B9" s="238">
        <v>1</v>
      </c>
      <c r="C9" s="238">
        <v>25</v>
      </c>
      <c r="D9" s="239" t="s">
        <v>357</v>
      </c>
      <c r="E9" s="80">
        <v>1</v>
      </c>
      <c r="F9" s="81">
        <v>1</v>
      </c>
      <c r="G9" s="144"/>
      <c r="H9" s="144"/>
      <c r="I9" s="144"/>
    </row>
    <row r="10" spans="1:9" ht="12.75">
      <c r="A10" s="144"/>
      <c r="B10" s="238">
        <v>2</v>
      </c>
      <c r="C10" s="238">
        <v>221</v>
      </c>
      <c r="D10" s="239" t="s">
        <v>407</v>
      </c>
      <c r="E10" s="80">
        <v>2</v>
      </c>
      <c r="F10" s="81">
        <v>2</v>
      </c>
      <c r="G10" s="144"/>
      <c r="H10" s="144"/>
      <c r="I10" s="144"/>
    </row>
    <row r="11" spans="1:9" ht="12.75">
      <c r="A11" s="144"/>
      <c r="B11" s="238">
        <v>3</v>
      </c>
      <c r="C11" s="238">
        <v>26</v>
      </c>
      <c r="D11" s="239" t="s">
        <v>779</v>
      </c>
      <c r="E11" s="80">
        <v>3</v>
      </c>
      <c r="F11" s="81">
        <v>3</v>
      </c>
      <c r="G11" s="144"/>
      <c r="H11" s="144"/>
      <c r="I11" s="144"/>
    </row>
    <row r="12" spans="1:9" ht="12.75">
      <c r="A12" s="144"/>
      <c r="B12" s="238">
        <v>4</v>
      </c>
      <c r="C12" s="238">
        <v>23</v>
      </c>
      <c r="D12" s="239" t="s">
        <v>684</v>
      </c>
      <c r="E12" s="80">
        <v>4</v>
      </c>
      <c r="F12" s="81">
        <v>4</v>
      </c>
      <c r="G12" s="144"/>
      <c r="H12" s="144"/>
      <c r="I12" s="144"/>
    </row>
    <row r="13" spans="1:9" ht="12.75">
      <c r="A13" s="144"/>
      <c r="B13" s="238">
        <v>5</v>
      </c>
      <c r="C13" s="238">
        <v>117</v>
      </c>
      <c r="D13" s="239" t="s">
        <v>781</v>
      </c>
      <c r="E13" s="80">
        <v>5</v>
      </c>
      <c r="F13" s="81">
        <v>5</v>
      </c>
      <c r="G13" s="144"/>
      <c r="H13" s="144"/>
      <c r="I13" s="144"/>
    </row>
    <row r="14" spans="1:9" ht="12.75">
      <c r="A14" s="144"/>
      <c r="B14" s="238">
        <v>6</v>
      </c>
      <c r="C14" s="238">
        <v>41</v>
      </c>
      <c r="D14" s="239" t="s">
        <v>417</v>
      </c>
      <c r="E14" s="80">
        <v>6</v>
      </c>
      <c r="F14" s="81">
        <v>6</v>
      </c>
      <c r="G14" s="144"/>
      <c r="H14" s="144"/>
      <c r="I14" s="144"/>
    </row>
    <row r="15" spans="1:9" ht="12.75">
      <c r="A15" s="144"/>
      <c r="B15" s="238">
        <v>7</v>
      </c>
      <c r="C15" s="238">
        <v>142</v>
      </c>
      <c r="D15" s="239" t="s">
        <v>410</v>
      </c>
      <c r="E15" s="80">
        <v>7</v>
      </c>
      <c r="F15" s="81">
        <v>7</v>
      </c>
      <c r="G15" s="144"/>
      <c r="H15" s="144"/>
      <c r="I15" s="144"/>
    </row>
    <row r="16" spans="1:9" ht="12.75">
      <c r="A16" s="144"/>
      <c r="B16" s="240">
        <v>8</v>
      </c>
      <c r="C16" s="240">
        <v>38</v>
      </c>
      <c r="D16" s="241" t="s">
        <v>782</v>
      </c>
      <c r="E16" s="82">
        <v>8</v>
      </c>
      <c r="F16" s="83">
        <v>8</v>
      </c>
      <c r="G16" s="144"/>
      <c r="H16" s="144"/>
      <c r="I16" s="144"/>
    </row>
    <row r="17" spans="1:9" ht="12.75">
      <c r="A17" s="144"/>
      <c r="B17" s="143"/>
      <c r="C17" s="143"/>
      <c r="D17" s="144"/>
      <c r="E17" s="143"/>
      <c r="F17" s="143"/>
      <c r="G17" s="144"/>
      <c r="H17" s="144"/>
      <c r="I17" s="144"/>
    </row>
    <row r="18" spans="1:9" ht="12.75">
      <c r="A18" s="144"/>
      <c r="B18" s="145" t="s">
        <v>778</v>
      </c>
      <c r="C18" s="143"/>
      <c r="D18" s="144"/>
      <c r="E18" s="143"/>
      <c r="F18" s="143"/>
      <c r="G18" s="144"/>
      <c r="H18" s="144"/>
      <c r="I18" s="144"/>
    </row>
    <row r="19" spans="1:9" ht="12.75">
      <c r="A19" s="144"/>
      <c r="B19" s="242" t="s">
        <v>777</v>
      </c>
      <c r="C19" s="143"/>
      <c r="D19" s="144"/>
      <c r="E19" s="143"/>
      <c r="F19" s="143"/>
      <c r="G19" s="144"/>
      <c r="H19" s="144"/>
      <c r="I19" s="144"/>
    </row>
    <row r="20" spans="1:9" ht="12.75">
      <c r="A20" s="144"/>
      <c r="B20" s="143"/>
      <c r="C20" s="143"/>
      <c r="D20" s="144"/>
      <c r="E20" s="143"/>
      <c r="F20" s="143"/>
      <c r="G20" s="144"/>
      <c r="H20" s="144"/>
      <c r="I20" s="144"/>
    </row>
    <row r="21" spans="1:9" ht="12.75">
      <c r="A21" s="144"/>
      <c r="B21" s="143"/>
      <c r="C21" s="143"/>
      <c r="D21" s="144" t="s">
        <v>191</v>
      </c>
      <c r="E21" s="143"/>
      <c r="F21" s="143"/>
      <c r="G21" s="144"/>
      <c r="H21" s="144"/>
      <c r="I21" s="144"/>
    </row>
    <row r="22" spans="1:9" ht="12.75">
      <c r="A22" s="144"/>
      <c r="B22" s="143"/>
      <c r="C22" s="143"/>
      <c r="D22" s="144" t="s">
        <v>191</v>
      </c>
      <c r="E22" s="143"/>
      <c r="F22" s="143"/>
      <c r="G22" s="144"/>
      <c r="H22" s="144"/>
      <c r="I22" s="144"/>
    </row>
    <row r="23" spans="1:9" ht="12.75">
      <c r="A23" s="144"/>
      <c r="B23" s="143"/>
      <c r="C23" s="143"/>
      <c r="D23" s="144"/>
      <c r="E23" s="143"/>
      <c r="F23" s="143"/>
      <c r="G23" s="144"/>
      <c r="H23" s="144"/>
      <c r="I23" s="144"/>
    </row>
  </sheetData>
  <sheetProtection/>
  <hyperlinks>
    <hyperlink ref="B19" r:id="rId1" display="http://www.larchmontyc.org/racing/documents/2006MemorialDay.pdf"/>
  </hyperlinks>
  <printOptions/>
  <pageMargins left="0.75" right="0.75" top="1" bottom="1" header="0.5" footer="0.5"/>
  <pageSetup horizontalDpi="600" verticalDpi="600" orientation="portrait" r:id="rId2"/>
</worksheet>
</file>

<file path=xl/worksheets/sheet19.xml><?xml version="1.0" encoding="utf-8"?>
<worksheet xmlns="http://schemas.openxmlformats.org/spreadsheetml/2006/main" xmlns:r="http://schemas.openxmlformats.org/officeDocument/2006/relationships">
  <sheetPr codeName="Sheet39"/>
  <dimension ref="B2:I23"/>
  <sheetViews>
    <sheetView zoomScalePageLayoutView="0" workbookViewId="0" topLeftCell="A1">
      <selection activeCell="D32" sqref="D32"/>
    </sheetView>
  </sheetViews>
  <sheetFormatPr defaultColWidth="9.140625" defaultRowHeight="12.75"/>
  <cols>
    <col min="1" max="1" width="3.28125" style="3" customWidth="1"/>
    <col min="2" max="2" width="9.140625" style="3" customWidth="1"/>
    <col min="3" max="3" width="15.57421875" style="3" bestFit="1" customWidth="1"/>
    <col min="4" max="8" width="9.140625" style="3" customWidth="1"/>
    <col min="9" max="9" width="23.421875" style="3" bestFit="1" customWidth="1"/>
    <col min="10" max="16384" width="9.140625" style="3" customWidth="1"/>
  </cols>
  <sheetData>
    <row r="2" ht="15.75">
      <c r="B2" s="4" t="s">
        <v>851</v>
      </c>
    </row>
    <row r="3" spans="2:6" ht="12.75">
      <c r="B3" s="27" t="s">
        <v>850</v>
      </c>
      <c r="C3" s="27"/>
      <c r="D3" s="27"/>
      <c r="E3" s="27"/>
      <c r="F3" s="27"/>
    </row>
    <row r="4" spans="2:6" ht="12.75">
      <c r="B4" s="27" t="s">
        <v>869</v>
      </c>
      <c r="C4" s="27"/>
      <c r="D4" s="27"/>
      <c r="E4" s="27"/>
      <c r="F4" s="27"/>
    </row>
    <row r="5" ht="12" customHeight="1"/>
    <row r="6" spans="2:9" ht="12.75">
      <c r="B6" s="250" t="s">
        <v>852</v>
      </c>
      <c r="C6" s="250" t="s">
        <v>422</v>
      </c>
      <c r="D6" s="250" t="s">
        <v>853</v>
      </c>
      <c r="E6" s="250" t="s">
        <v>552</v>
      </c>
      <c r="F6" s="250" t="s">
        <v>553</v>
      </c>
      <c r="G6" s="250" t="s">
        <v>569</v>
      </c>
      <c r="H6" s="250" t="s">
        <v>294</v>
      </c>
      <c r="I6" s="250" t="s">
        <v>854</v>
      </c>
    </row>
    <row r="7" spans="2:9" ht="12.75">
      <c r="B7" s="40" t="s">
        <v>435</v>
      </c>
      <c r="C7" s="39" t="s">
        <v>855</v>
      </c>
      <c r="D7" s="40">
        <v>25</v>
      </c>
      <c r="E7" s="40">
        <v>3</v>
      </c>
      <c r="F7" s="40">
        <v>1</v>
      </c>
      <c r="G7" s="40">
        <v>6</v>
      </c>
      <c r="H7" s="40">
        <v>10</v>
      </c>
      <c r="I7" s="39"/>
    </row>
    <row r="8" spans="2:9" ht="12.75">
      <c r="B8" s="40" t="s">
        <v>437</v>
      </c>
      <c r="C8" s="39" t="s">
        <v>856</v>
      </c>
      <c r="D8" s="40">
        <v>246</v>
      </c>
      <c r="E8" s="40">
        <v>4</v>
      </c>
      <c r="F8" s="40">
        <v>5</v>
      </c>
      <c r="G8" s="40">
        <v>1</v>
      </c>
      <c r="H8" s="40">
        <v>10</v>
      </c>
      <c r="I8" s="39"/>
    </row>
    <row r="9" spans="2:9" ht="12.75">
      <c r="B9" s="40" t="s">
        <v>438</v>
      </c>
      <c r="C9" s="39" t="s">
        <v>857</v>
      </c>
      <c r="D9" s="40">
        <v>23</v>
      </c>
      <c r="E9" s="40">
        <v>1</v>
      </c>
      <c r="F9" s="40">
        <v>2</v>
      </c>
      <c r="G9" s="40">
        <v>8</v>
      </c>
      <c r="H9" s="40">
        <v>11</v>
      </c>
      <c r="I9" s="39"/>
    </row>
    <row r="10" spans="2:9" ht="12.75">
      <c r="B10" s="40" t="s">
        <v>440</v>
      </c>
      <c r="C10" s="39" t="s">
        <v>858</v>
      </c>
      <c r="D10" s="40">
        <v>87</v>
      </c>
      <c r="E10" s="40">
        <v>10</v>
      </c>
      <c r="F10" s="40">
        <v>3</v>
      </c>
      <c r="G10" s="40">
        <v>5</v>
      </c>
      <c r="H10" s="40">
        <v>18</v>
      </c>
      <c r="I10" s="39"/>
    </row>
    <row r="11" spans="2:9" ht="12.75">
      <c r="B11" s="40" t="s">
        <v>442</v>
      </c>
      <c r="C11" s="39" t="s">
        <v>859</v>
      </c>
      <c r="D11" s="40">
        <v>221</v>
      </c>
      <c r="E11" s="40">
        <v>7</v>
      </c>
      <c r="F11" s="40">
        <v>4</v>
      </c>
      <c r="G11" s="40">
        <v>7</v>
      </c>
      <c r="H11" s="40">
        <v>18</v>
      </c>
      <c r="I11" s="39"/>
    </row>
    <row r="12" spans="2:9" ht="12.75">
      <c r="B12" s="40" t="s">
        <v>443</v>
      </c>
      <c r="C12" s="39" t="s">
        <v>860</v>
      </c>
      <c r="D12" s="40">
        <v>61</v>
      </c>
      <c r="E12" s="40">
        <v>9</v>
      </c>
      <c r="F12" s="40">
        <v>8</v>
      </c>
      <c r="G12" s="40">
        <v>2</v>
      </c>
      <c r="H12" s="40">
        <v>19</v>
      </c>
      <c r="I12" s="39"/>
    </row>
    <row r="13" spans="2:9" ht="12.75">
      <c r="B13" s="40" t="s">
        <v>444</v>
      </c>
      <c r="C13" s="39" t="s">
        <v>861</v>
      </c>
      <c r="D13" s="40">
        <v>26</v>
      </c>
      <c r="E13" s="40">
        <v>5</v>
      </c>
      <c r="F13" s="40">
        <v>11</v>
      </c>
      <c r="G13" s="40">
        <v>3</v>
      </c>
      <c r="H13" s="40">
        <v>19</v>
      </c>
      <c r="I13" s="39"/>
    </row>
    <row r="14" spans="2:9" ht="12.75">
      <c r="B14" s="40" t="s">
        <v>445</v>
      </c>
      <c r="C14" s="39" t="s">
        <v>862</v>
      </c>
      <c r="D14" s="40">
        <v>182</v>
      </c>
      <c r="E14" s="40">
        <v>2</v>
      </c>
      <c r="F14" s="40" t="s">
        <v>517</v>
      </c>
      <c r="G14" s="40">
        <v>4</v>
      </c>
      <c r="H14" s="40">
        <v>21</v>
      </c>
      <c r="I14" s="39" t="s">
        <v>863</v>
      </c>
    </row>
    <row r="15" spans="2:9" ht="12.75">
      <c r="B15" s="40" t="s">
        <v>446</v>
      </c>
      <c r="C15" s="39" t="s">
        <v>864</v>
      </c>
      <c r="D15" s="40">
        <v>206</v>
      </c>
      <c r="E15" s="40">
        <v>6</v>
      </c>
      <c r="F15" s="40">
        <v>6</v>
      </c>
      <c r="G15" s="40">
        <v>9</v>
      </c>
      <c r="H15" s="40">
        <v>21</v>
      </c>
      <c r="I15" s="39"/>
    </row>
    <row r="16" spans="2:9" ht="12.75">
      <c r="B16" s="40" t="s">
        <v>447</v>
      </c>
      <c r="C16" s="39" t="s">
        <v>865</v>
      </c>
      <c r="D16" s="40">
        <v>228</v>
      </c>
      <c r="E16" s="40">
        <v>8</v>
      </c>
      <c r="F16" s="40">
        <v>7</v>
      </c>
      <c r="G16" s="40">
        <v>10</v>
      </c>
      <c r="H16" s="40">
        <v>25</v>
      </c>
      <c r="I16" s="39"/>
    </row>
    <row r="17" spans="2:9" ht="12.75">
      <c r="B17" s="40" t="s">
        <v>448</v>
      </c>
      <c r="C17" s="39" t="s">
        <v>866</v>
      </c>
      <c r="D17" s="40">
        <v>83</v>
      </c>
      <c r="E17" s="40">
        <v>12</v>
      </c>
      <c r="F17" s="40">
        <v>10</v>
      </c>
      <c r="G17" s="40">
        <v>11</v>
      </c>
      <c r="H17" s="40">
        <v>33</v>
      </c>
      <c r="I17" s="39"/>
    </row>
    <row r="18" spans="2:9" ht="12.75">
      <c r="B18" s="40" t="s">
        <v>469</v>
      </c>
      <c r="C18" s="39" t="s">
        <v>511</v>
      </c>
      <c r="D18" s="40">
        <v>117</v>
      </c>
      <c r="E18" s="40">
        <v>14</v>
      </c>
      <c r="F18" s="40">
        <v>9</v>
      </c>
      <c r="G18" s="40">
        <v>13</v>
      </c>
      <c r="H18" s="40">
        <v>36</v>
      </c>
      <c r="I18" s="39"/>
    </row>
    <row r="19" spans="2:9" ht="12.75">
      <c r="B19" s="40" t="s">
        <v>470</v>
      </c>
      <c r="C19" s="39" t="s">
        <v>867</v>
      </c>
      <c r="D19" s="40">
        <v>93</v>
      </c>
      <c r="E19" s="40">
        <v>11</v>
      </c>
      <c r="F19" s="40">
        <v>12</v>
      </c>
      <c r="G19" s="40">
        <v>14</v>
      </c>
      <c r="H19" s="40">
        <v>37</v>
      </c>
      <c r="I19" s="39"/>
    </row>
    <row r="20" spans="2:9" ht="12.75">
      <c r="B20" s="50" t="s">
        <v>471</v>
      </c>
      <c r="C20" s="60" t="s">
        <v>868</v>
      </c>
      <c r="D20" s="50">
        <v>106</v>
      </c>
      <c r="E20" s="50">
        <v>13</v>
      </c>
      <c r="F20" s="50">
        <v>13</v>
      </c>
      <c r="G20" s="50">
        <v>12</v>
      </c>
      <c r="H20" s="50">
        <v>38</v>
      </c>
      <c r="I20" s="60"/>
    </row>
    <row r="22" ht="12.75">
      <c r="B22" s="27" t="s">
        <v>871</v>
      </c>
    </row>
    <row r="23" ht="12.75">
      <c r="B23" s="75" t="s">
        <v>870</v>
      </c>
    </row>
  </sheetData>
  <sheetProtection/>
  <hyperlinks>
    <hyperlink ref="B23" r:id="rId1" display="http://www.seawanhaka.org/archives/ShieldsDistricts06242006Final.ht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9">
    <pageSetUpPr fitToPage="1"/>
  </sheetPr>
  <dimension ref="A1:BS38"/>
  <sheetViews>
    <sheetView tabSelected="1" zoomScalePageLayoutView="0" workbookViewId="0" topLeftCell="A1">
      <pane xSplit="7" ySplit="10" topLeftCell="L11" activePane="bottomRight" state="frozen"/>
      <selection pane="topLeft" activeCell="A1" sqref="A1"/>
      <selection pane="topRight" activeCell="H1" sqref="H1"/>
      <selection pane="bottomLeft" activeCell="A11" sqref="A11"/>
      <selection pane="bottomRight"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1" width="4.00390625" style="27" customWidth="1"/>
    <col min="12" max="24" width="4.140625" style="27" customWidth="1"/>
    <col min="25" max="25" width="5.7109375" style="27" customWidth="1"/>
    <col min="26" max="26" width="5.421875" style="27" customWidth="1"/>
    <col min="27" max="37" width="4.140625" style="27" customWidth="1"/>
    <col min="38" max="38" width="5.00390625" style="27" customWidth="1"/>
    <col min="39" max="39" width="6.421875" style="27" customWidth="1"/>
    <col min="40" max="40" width="5.57421875" style="27" customWidth="1"/>
    <col min="41" max="63" width="4.140625" style="27" customWidth="1"/>
    <col min="64" max="64" width="4.28125" style="27" customWidth="1"/>
    <col min="65" max="67" width="4.28125" style="150" customWidth="1"/>
    <col min="68" max="68" width="9.140625" style="150" customWidth="1"/>
    <col min="69" max="16384" width="9.140625" style="27" customWidth="1"/>
  </cols>
  <sheetData>
    <row r="1" spans="1:36" ht="11.25">
      <c r="A1" s="27" t="s">
        <v>191</v>
      </c>
      <c r="AJ1" s="27" t="s">
        <v>191</v>
      </c>
    </row>
    <row r="2" ht="15.75">
      <c r="D2" s="71" t="s">
        <v>1134</v>
      </c>
    </row>
    <row r="3" ht="11.25">
      <c r="D3" s="27" t="s">
        <v>819</v>
      </c>
    </row>
    <row r="4" spans="8:71" ht="11.25">
      <c r="H4" s="366" t="s">
        <v>300</v>
      </c>
      <c r="I4" s="367"/>
      <c r="J4" s="367"/>
      <c r="K4" s="367"/>
      <c r="L4" s="367"/>
      <c r="M4" s="367"/>
      <c r="N4" s="367"/>
      <c r="O4" s="367"/>
      <c r="P4" s="367"/>
      <c r="Q4" s="367"/>
      <c r="R4" s="367"/>
      <c r="S4" s="367"/>
      <c r="T4" s="367"/>
      <c r="U4" s="367"/>
      <c r="V4" s="367"/>
      <c r="W4" s="367"/>
      <c r="X4" s="367"/>
      <c r="Y4" s="367"/>
      <c r="Z4" s="368"/>
      <c r="AK4" s="318" t="s">
        <v>301</v>
      </c>
      <c r="AL4" s="319"/>
      <c r="AM4" s="319"/>
      <c r="AN4" s="319"/>
      <c r="AO4" s="31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30"/>
      <c r="BR4" s="104" t="s">
        <v>1110</v>
      </c>
      <c r="BS4" s="104"/>
    </row>
    <row r="5" spans="4:68" ht="12.75" customHeight="1">
      <c r="D5" s="191"/>
      <c r="H5" s="375" t="s">
        <v>825</v>
      </c>
      <c r="I5" s="376"/>
      <c r="J5" s="376"/>
      <c r="K5" s="377"/>
      <c r="L5" s="375" t="s">
        <v>823</v>
      </c>
      <c r="M5" s="377"/>
      <c r="N5" s="375" t="s">
        <v>1130</v>
      </c>
      <c r="O5" s="377"/>
      <c r="P5" s="375" t="s">
        <v>312</v>
      </c>
      <c r="Q5" s="377"/>
      <c r="R5" s="375" t="s">
        <v>873</v>
      </c>
      <c r="S5" s="376"/>
      <c r="T5" s="376"/>
      <c r="U5" s="376"/>
      <c r="V5" s="376"/>
      <c r="W5" s="377"/>
      <c r="X5" s="373" t="s">
        <v>314</v>
      </c>
      <c r="Y5" s="374"/>
      <c r="Z5" s="374"/>
      <c r="AA5" s="378" t="s">
        <v>288</v>
      </c>
      <c r="AB5" s="379"/>
      <c r="AC5" s="379"/>
      <c r="AD5" s="379"/>
      <c r="AE5" s="379"/>
      <c r="AF5" s="379"/>
      <c r="AG5" s="379"/>
      <c r="AH5" s="379"/>
      <c r="AI5" s="379"/>
      <c r="AJ5" s="379"/>
      <c r="AK5" s="41" t="s">
        <v>513</v>
      </c>
      <c r="AL5" s="375" t="s">
        <v>428</v>
      </c>
      <c r="AM5" s="376"/>
      <c r="AN5" s="377"/>
      <c r="AO5" s="380" t="s">
        <v>313</v>
      </c>
      <c r="AP5" s="382"/>
      <c r="AQ5" s="380" t="s">
        <v>313</v>
      </c>
      <c r="AR5" s="382"/>
      <c r="AS5" s="380" t="s">
        <v>776</v>
      </c>
      <c r="AT5" s="381"/>
      <c r="AU5" s="381"/>
      <c r="AV5" s="381"/>
      <c r="AW5" s="381"/>
      <c r="AX5" s="381"/>
      <c r="AY5" s="382"/>
      <c r="AZ5" s="380" t="s">
        <v>312</v>
      </c>
      <c r="BA5" s="381"/>
      <c r="BB5" s="380" t="s">
        <v>788</v>
      </c>
      <c r="BC5" s="381"/>
      <c r="BD5" s="380" t="s">
        <v>789</v>
      </c>
      <c r="BE5" s="381"/>
      <c r="BF5" s="381"/>
      <c r="BG5" s="381"/>
      <c r="BH5" s="382"/>
      <c r="BJ5" s="104"/>
      <c r="BK5" s="104"/>
      <c r="BL5" s="39"/>
      <c r="BN5" s="27"/>
      <c r="BO5" s="27"/>
      <c r="BP5" s="27"/>
    </row>
    <row r="6" spans="3:68" ht="11.25">
      <c r="C6" s="37"/>
      <c r="D6" s="126"/>
      <c r="E6" s="105"/>
      <c r="F6" s="115"/>
      <c r="G6" s="310" t="s">
        <v>184</v>
      </c>
      <c r="H6" s="62" t="s">
        <v>295</v>
      </c>
      <c r="I6" s="62" t="s">
        <v>295</v>
      </c>
      <c r="J6" s="62" t="s">
        <v>295</v>
      </c>
      <c r="K6" s="62" t="s">
        <v>295</v>
      </c>
      <c r="L6" s="41" t="s">
        <v>295</v>
      </c>
      <c r="M6" s="41" t="s">
        <v>295</v>
      </c>
      <c r="N6" s="41" t="s">
        <v>295</v>
      </c>
      <c r="O6" s="53" t="s">
        <v>295</v>
      </c>
      <c r="P6" s="41"/>
      <c r="Q6" s="62"/>
      <c r="R6" s="41" t="s">
        <v>295</v>
      </c>
      <c r="S6" s="41" t="s">
        <v>295</v>
      </c>
      <c r="T6" s="41" t="s">
        <v>295</v>
      </c>
      <c r="U6" s="41" t="s">
        <v>430</v>
      </c>
      <c r="V6" s="41" t="s">
        <v>295</v>
      </c>
      <c r="W6" s="41" t="s">
        <v>515</v>
      </c>
      <c r="X6" s="41"/>
      <c r="Y6" s="41"/>
      <c r="Z6" s="41"/>
      <c r="AA6" s="41"/>
      <c r="AB6" s="41"/>
      <c r="AC6" s="41"/>
      <c r="AD6" s="41"/>
      <c r="AE6" s="41"/>
      <c r="AF6" s="41" t="s">
        <v>295</v>
      </c>
      <c r="AG6" s="41" t="s">
        <v>295</v>
      </c>
      <c r="AH6" s="41" t="s">
        <v>295</v>
      </c>
      <c r="AI6" s="41" t="s">
        <v>295</v>
      </c>
      <c r="AJ6" s="41" t="s">
        <v>295</v>
      </c>
      <c r="AK6" s="41"/>
      <c r="AL6" s="41"/>
      <c r="AM6" s="41"/>
      <c r="AN6" s="41"/>
      <c r="AO6" s="41"/>
      <c r="AP6" s="41"/>
      <c r="AQ6" s="41" t="s">
        <v>295</v>
      </c>
      <c r="AR6" s="41" t="s">
        <v>430</v>
      </c>
      <c r="AS6" s="41"/>
      <c r="AT6" s="41"/>
      <c r="AU6" s="41"/>
      <c r="AV6" s="41"/>
      <c r="AW6" s="41"/>
      <c r="AX6" s="53"/>
      <c r="AY6" s="53"/>
      <c r="AZ6" s="41"/>
      <c r="BA6" s="53"/>
      <c r="BB6" s="41"/>
      <c r="BC6" s="50"/>
      <c r="BD6" s="50"/>
      <c r="BE6" s="50"/>
      <c r="BF6" s="50"/>
      <c r="BG6" s="50"/>
      <c r="BH6" s="104"/>
      <c r="BI6" s="150"/>
      <c r="BJ6" s="104"/>
      <c r="BK6" s="104"/>
      <c r="BL6" s="150"/>
      <c r="BM6" s="27"/>
      <c r="BN6" s="27"/>
      <c r="BO6" s="27"/>
      <c r="BP6" s="27"/>
    </row>
    <row r="7" spans="3:68" ht="12.75" customHeight="1">
      <c r="C7" s="39"/>
      <c r="D7" s="63"/>
      <c r="E7" s="56"/>
      <c r="F7" s="369" t="s">
        <v>185</v>
      </c>
      <c r="G7" s="370"/>
      <c r="H7" s="112"/>
      <c r="I7" s="112"/>
      <c r="J7" s="112"/>
      <c r="K7" s="112"/>
      <c r="L7" s="41"/>
      <c r="M7" s="41"/>
      <c r="N7" s="41"/>
      <c r="O7" s="53"/>
      <c r="P7" s="41"/>
      <c r="Q7" s="62"/>
      <c r="R7" s="41">
        <v>330</v>
      </c>
      <c r="S7" s="41">
        <v>330</v>
      </c>
      <c r="T7" s="41">
        <v>330</v>
      </c>
      <c r="U7" s="41">
        <v>315</v>
      </c>
      <c r="V7" s="41">
        <v>210</v>
      </c>
      <c r="W7" s="41">
        <v>210</v>
      </c>
      <c r="X7" s="41"/>
      <c r="Y7" s="41"/>
      <c r="Z7" s="41"/>
      <c r="AA7" s="41"/>
      <c r="AB7" s="41"/>
      <c r="AC7" s="41"/>
      <c r="AD7" s="41"/>
      <c r="AE7" s="41"/>
      <c r="AF7" s="41">
        <v>10</v>
      </c>
      <c r="AG7" s="41">
        <v>25</v>
      </c>
      <c r="AH7" s="41">
        <v>25</v>
      </c>
      <c r="AI7" s="41">
        <v>95</v>
      </c>
      <c r="AJ7" s="41">
        <v>95</v>
      </c>
      <c r="AK7" s="41"/>
      <c r="AL7" s="41"/>
      <c r="AM7" s="41"/>
      <c r="AN7" s="41"/>
      <c r="AO7" s="41"/>
      <c r="AP7" s="41"/>
      <c r="AQ7" s="41">
        <v>350</v>
      </c>
      <c r="AR7" s="41">
        <v>355</v>
      </c>
      <c r="AS7" s="41"/>
      <c r="AT7" s="41"/>
      <c r="AU7" s="41"/>
      <c r="AV7" s="41"/>
      <c r="AW7" s="41"/>
      <c r="AX7" s="53"/>
      <c r="AY7" s="53"/>
      <c r="AZ7" s="41"/>
      <c r="BA7" s="53"/>
      <c r="BB7" s="41">
        <v>25</v>
      </c>
      <c r="BC7" s="41">
        <v>25</v>
      </c>
      <c r="BD7" s="41"/>
      <c r="BE7" s="41"/>
      <c r="BF7" s="41"/>
      <c r="BG7" s="41"/>
      <c r="BH7" s="104"/>
      <c r="BI7" s="150"/>
      <c r="BJ7" s="104"/>
      <c r="BK7" s="104"/>
      <c r="BL7" s="150"/>
      <c r="BM7" s="27"/>
      <c r="BN7" s="27"/>
      <c r="BO7" s="27"/>
      <c r="BP7" s="27"/>
    </row>
    <row r="8" spans="3:68" ht="12.75" customHeight="1">
      <c r="C8" s="39"/>
      <c r="D8" s="63"/>
      <c r="E8" s="56"/>
      <c r="F8" s="369" t="s">
        <v>186</v>
      </c>
      <c r="G8" s="370"/>
      <c r="H8" s="44"/>
      <c r="I8" s="44"/>
      <c r="J8" s="44"/>
      <c r="K8" s="44"/>
      <c r="L8" s="111"/>
      <c r="M8" s="111"/>
      <c r="N8" s="43"/>
      <c r="O8" s="305"/>
      <c r="P8" s="43"/>
      <c r="Q8" s="306"/>
      <c r="R8" s="111">
        <v>15</v>
      </c>
      <c r="S8" s="111">
        <v>15</v>
      </c>
      <c r="T8" s="111">
        <v>15</v>
      </c>
      <c r="U8" s="111">
        <v>15</v>
      </c>
      <c r="V8" s="111">
        <v>5</v>
      </c>
      <c r="W8" s="111">
        <v>3</v>
      </c>
      <c r="X8" s="43"/>
      <c r="Y8" s="43"/>
      <c r="Z8" s="43"/>
      <c r="AA8" s="44"/>
      <c r="AB8" s="44"/>
      <c r="AC8" s="44"/>
      <c r="AD8" s="43"/>
      <c r="AE8" s="43"/>
      <c r="AF8" s="43">
        <v>15</v>
      </c>
      <c r="AG8" s="43">
        <v>15</v>
      </c>
      <c r="AH8" s="43">
        <v>15</v>
      </c>
      <c r="AI8" s="43">
        <v>5</v>
      </c>
      <c r="AJ8" s="43">
        <v>10</v>
      </c>
      <c r="AK8" s="43"/>
      <c r="AL8" s="43"/>
      <c r="AM8" s="43"/>
      <c r="AN8" s="43"/>
      <c r="AO8" s="43"/>
      <c r="AP8" s="43"/>
      <c r="AQ8" s="43"/>
      <c r="AR8" s="43"/>
      <c r="AS8" s="43"/>
      <c r="AT8" s="43"/>
      <c r="AU8" s="43"/>
      <c r="AV8" s="43"/>
      <c r="AW8" s="43"/>
      <c r="AX8" s="305"/>
      <c r="AY8" s="305"/>
      <c r="AZ8" s="41"/>
      <c r="BA8" s="305"/>
      <c r="BB8" s="41">
        <v>15</v>
      </c>
      <c r="BC8" s="41">
        <v>18</v>
      </c>
      <c r="BD8" s="41"/>
      <c r="BE8" s="41"/>
      <c r="BF8" s="41"/>
      <c r="BG8" s="41"/>
      <c r="BH8" s="104"/>
      <c r="BI8" s="150"/>
      <c r="BJ8" s="104"/>
      <c r="BK8" s="104"/>
      <c r="BL8" s="150"/>
      <c r="BM8" s="27"/>
      <c r="BN8" s="27"/>
      <c r="BO8" s="27"/>
      <c r="BP8" s="27"/>
    </row>
    <row r="9" spans="3:68" ht="12.75" customHeight="1">
      <c r="C9" s="60"/>
      <c r="D9" s="127"/>
      <c r="E9" s="56">
        <f>COUNTIF($H9:BH9,"&gt;=0")</f>
        <v>53</v>
      </c>
      <c r="F9" s="371" t="s">
        <v>187</v>
      </c>
      <c r="G9" s="372"/>
      <c r="H9" s="41">
        <f>COUNTA(H11:H30)</f>
        <v>12</v>
      </c>
      <c r="I9" s="41">
        <f aca="true" t="shared" si="0" ref="I9:X9">COUNTA(I11:I30)</f>
        <v>10</v>
      </c>
      <c r="J9" s="41">
        <f t="shared" si="0"/>
        <v>8</v>
      </c>
      <c r="K9" s="41">
        <f t="shared" si="0"/>
        <v>7</v>
      </c>
      <c r="L9" s="41">
        <f t="shared" si="0"/>
        <v>12</v>
      </c>
      <c r="M9" s="41">
        <f t="shared" si="0"/>
        <v>11</v>
      </c>
      <c r="N9" s="41">
        <f t="shared" si="0"/>
        <v>13</v>
      </c>
      <c r="O9" s="41">
        <f t="shared" si="0"/>
        <v>9</v>
      </c>
      <c r="P9" s="41">
        <f t="shared" si="0"/>
        <v>12</v>
      </c>
      <c r="Q9" s="41">
        <f t="shared" si="0"/>
        <v>12</v>
      </c>
      <c r="R9" s="41">
        <f t="shared" si="0"/>
        <v>12</v>
      </c>
      <c r="S9" s="41">
        <f t="shared" si="0"/>
        <v>12</v>
      </c>
      <c r="T9" s="41">
        <f t="shared" si="0"/>
        <v>12</v>
      </c>
      <c r="U9" s="41">
        <f t="shared" si="0"/>
        <v>11</v>
      </c>
      <c r="V9" s="41">
        <f t="shared" si="0"/>
        <v>10</v>
      </c>
      <c r="W9" s="41">
        <f t="shared" si="0"/>
        <v>10</v>
      </c>
      <c r="X9" s="41">
        <f t="shared" si="0"/>
        <v>8</v>
      </c>
      <c r="Y9" s="41">
        <v>8</v>
      </c>
      <c r="Z9" s="41">
        <v>8</v>
      </c>
      <c r="AA9" s="41">
        <f>COUNTA(AA11:AA30)</f>
        <v>16</v>
      </c>
      <c r="AB9" s="41">
        <f>COUNTA(AB11:AB30)</f>
        <v>16</v>
      </c>
      <c r="AC9" s="41">
        <f>COUNTA(AC11:AC30)</f>
        <v>15</v>
      </c>
      <c r="AD9" s="41">
        <f>COUNTA(AD11:AD30)</f>
        <v>15</v>
      </c>
      <c r="AE9" s="41">
        <f>COUNTA(AE11:AE30)</f>
        <v>14</v>
      </c>
      <c r="AF9" s="41">
        <v>15</v>
      </c>
      <c r="AG9" s="41">
        <v>15</v>
      </c>
      <c r="AH9" s="41">
        <v>14</v>
      </c>
      <c r="AI9" s="41">
        <v>12</v>
      </c>
      <c r="AJ9" s="41">
        <v>12</v>
      </c>
      <c r="AK9" s="41">
        <v>10</v>
      </c>
      <c r="AL9" s="41">
        <v>8</v>
      </c>
      <c r="AM9" s="41">
        <v>8</v>
      </c>
      <c r="AN9" s="41">
        <v>8</v>
      </c>
      <c r="AO9" s="41">
        <v>6</v>
      </c>
      <c r="AP9" s="41">
        <v>6</v>
      </c>
      <c r="AQ9" s="41">
        <v>5</v>
      </c>
      <c r="AR9" s="41">
        <v>5</v>
      </c>
      <c r="AS9" s="41">
        <v>10</v>
      </c>
      <c r="AT9" s="41">
        <v>10</v>
      </c>
      <c r="AU9" s="41">
        <v>10</v>
      </c>
      <c r="AV9" s="41">
        <v>8</v>
      </c>
      <c r="AW9" s="41">
        <v>9</v>
      </c>
      <c r="AX9" s="53">
        <v>9</v>
      </c>
      <c r="AY9" s="53">
        <v>9</v>
      </c>
      <c r="AZ9" s="41">
        <v>5</v>
      </c>
      <c r="BA9" s="53">
        <v>5</v>
      </c>
      <c r="BB9" s="41">
        <v>10</v>
      </c>
      <c r="BC9" s="41">
        <v>10</v>
      </c>
      <c r="BD9" s="41">
        <v>8</v>
      </c>
      <c r="BE9" s="41">
        <v>8</v>
      </c>
      <c r="BF9" s="41">
        <v>8</v>
      </c>
      <c r="BG9" s="41">
        <v>6</v>
      </c>
      <c r="BH9" s="104">
        <v>6</v>
      </c>
      <c r="BI9" s="150"/>
      <c r="BJ9" s="41"/>
      <c r="BK9" s="41">
        <v>6</v>
      </c>
      <c r="BL9" s="150"/>
      <c r="BM9" s="27"/>
      <c r="BN9" s="27"/>
      <c r="BO9" s="27"/>
      <c r="BP9" s="27"/>
    </row>
    <row r="10" spans="3:68" ht="81">
      <c r="C10" s="41" t="s">
        <v>451</v>
      </c>
      <c r="D10" s="201" t="s">
        <v>422</v>
      </c>
      <c r="E10" s="36" t="s">
        <v>188</v>
      </c>
      <c r="F10" s="36" t="s">
        <v>189</v>
      </c>
      <c r="G10" s="151" t="s">
        <v>190</v>
      </c>
      <c r="H10" s="36">
        <v>39228</v>
      </c>
      <c r="I10" s="36">
        <v>39228</v>
      </c>
      <c r="J10" s="36">
        <v>39229</v>
      </c>
      <c r="K10" s="36">
        <v>39229</v>
      </c>
      <c r="L10" s="36">
        <v>39235</v>
      </c>
      <c r="M10" s="36">
        <v>39235</v>
      </c>
      <c r="N10" s="36">
        <v>39242</v>
      </c>
      <c r="O10" s="36">
        <v>39242</v>
      </c>
      <c r="P10" s="36">
        <v>39249</v>
      </c>
      <c r="Q10" s="36">
        <v>39249</v>
      </c>
      <c r="R10" s="36">
        <v>38161</v>
      </c>
      <c r="S10" s="36">
        <v>38161</v>
      </c>
      <c r="T10" s="36">
        <v>38161</v>
      </c>
      <c r="U10" s="36">
        <v>38161</v>
      </c>
      <c r="V10" s="36">
        <v>39257</v>
      </c>
      <c r="W10" s="36">
        <v>39257</v>
      </c>
      <c r="X10" s="36">
        <v>39263</v>
      </c>
      <c r="Y10" s="36">
        <v>39264</v>
      </c>
      <c r="Z10" s="36">
        <v>39264</v>
      </c>
      <c r="AA10" s="36">
        <v>39277</v>
      </c>
      <c r="AB10" s="36">
        <v>39277</v>
      </c>
      <c r="AC10" s="36">
        <v>39278</v>
      </c>
      <c r="AD10" s="36">
        <v>39278</v>
      </c>
      <c r="AE10" s="36">
        <v>39278</v>
      </c>
      <c r="AF10" s="36">
        <v>39284</v>
      </c>
      <c r="AG10" s="36">
        <v>39284</v>
      </c>
      <c r="AH10" s="36">
        <v>39284</v>
      </c>
      <c r="AI10" s="36">
        <v>38190</v>
      </c>
      <c r="AJ10" s="36">
        <v>39285</v>
      </c>
      <c r="AK10" s="36">
        <v>38203</v>
      </c>
      <c r="AL10" s="36">
        <v>39305</v>
      </c>
      <c r="AM10" s="36">
        <v>39305</v>
      </c>
      <c r="AN10" s="36">
        <v>39305</v>
      </c>
      <c r="AO10" s="36">
        <v>38224</v>
      </c>
      <c r="AP10" s="36">
        <v>39319</v>
      </c>
      <c r="AQ10" s="36">
        <v>38231</v>
      </c>
      <c r="AR10" s="36">
        <v>39326</v>
      </c>
      <c r="AS10" s="36">
        <v>38238</v>
      </c>
      <c r="AT10" s="36">
        <v>38238</v>
      </c>
      <c r="AU10" s="36">
        <v>39333</v>
      </c>
      <c r="AV10" s="36">
        <v>39333</v>
      </c>
      <c r="AW10" s="36">
        <v>38239</v>
      </c>
      <c r="AX10" s="36">
        <v>39333</v>
      </c>
      <c r="AY10" s="36">
        <v>39334</v>
      </c>
      <c r="AZ10" s="36">
        <v>38245</v>
      </c>
      <c r="BA10" s="36">
        <v>39340</v>
      </c>
      <c r="BB10" s="36">
        <v>38259</v>
      </c>
      <c r="BC10" s="36">
        <v>39354</v>
      </c>
      <c r="BD10" s="36">
        <v>38267</v>
      </c>
      <c r="BE10" s="36">
        <v>39362</v>
      </c>
      <c r="BF10" s="36">
        <v>39362</v>
      </c>
      <c r="BG10" s="36">
        <v>38268</v>
      </c>
      <c r="BH10" s="36">
        <v>39363</v>
      </c>
      <c r="BI10" s="150"/>
      <c r="BJ10" s="332" t="s">
        <v>742</v>
      </c>
      <c r="BK10" s="333" t="s">
        <v>1157</v>
      </c>
      <c r="BL10" s="150"/>
      <c r="BM10" s="27"/>
      <c r="BN10" s="27"/>
      <c r="BO10" s="27"/>
      <c r="BP10" s="27"/>
    </row>
    <row r="11" spans="2:68" ht="11.25">
      <c r="B11" s="27">
        <v>1</v>
      </c>
      <c r="C11" s="40">
        <v>23</v>
      </c>
      <c r="D11" s="39" t="s">
        <v>684</v>
      </c>
      <c r="E11" s="32">
        <f aca="true" t="shared" si="1" ref="E11:E17">COUNTA(H11:BI11)</f>
        <v>38</v>
      </c>
      <c r="F11" s="32">
        <f aca="true" t="shared" si="2" ref="F11:F30">MIN(INT(E11/10),3)</f>
        <v>3</v>
      </c>
      <c r="G11" s="33">
        <f>C_S_G($H11:BH11,$H$9:BH$9,csg_table,E$9,F11)</f>
        <v>0.9380626575441123</v>
      </c>
      <c r="H11" s="32">
        <v>1</v>
      </c>
      <c r="I11" s="32">
        <v>3</v>
      </c>
      <c r="J11" s="32">
        <v>1</v>
      </c>
      <c r="K11" s="32">
        <v>2</v>
      </c>
      <c r="L11" s="32">
        <v>3</v>
      </c>
      <c r="M11" s="32">
        <v>4</v>
      </c>
      <c r="N11" s="32">
        <v>1</v>
      </c>
      <c r="O11" s="32">
        <v>1</v>
      </c>
      <c r="P11" s="32">
        <v>3</v>
      </c>
      <c r="Q11" s="32">
        <v>3</v>
      </c>
      <c r="R11" s="32">
        <v>2</v>
      </c>
      <c r="S11" s="32">
        <v>1</v>
      </c>
      <c r="T11" s="32">
        <v>6</v>
      </c>
      <c r="U11" s="32">
        <v>3</v>
      </c>
      <c r="V11" s="32">
        <v>6</v>
      </c>
      <c r="W11" s="32">
        <v>4</v>
      </c>
      <c r="X11" s="32"/>
      <c r="Y11" s="255"/>
      <c r="Z11" s="32"/>
      <c r="AA11" s="32">
        <v>4</v>
      </c>
      <c r="AB11" s="32">
        <v>1</v>
      </c>
      <c r="AC11" s="32">
        <v>2</v>
      </c>
      <c r="AD11" s="32">
        <v>1</v>
      </c>
      <c r="AE11" s="32">
        <v>1</v>
      </c>
      <c r="AF11" s="32">
        <v>1</v>
      </c>
      <c r="AG11" s="32">
        <v>3</v>
      </c>
      <c r="AH11" s="32">
        <v>1</v>
      </c>
      <c r="AI11" s="32">
        <v>1</v>
      </c>
      <c r="AJ11" s="32">
        <v>9</v>
      </c>
      <c r="AK11" s="32">
        <v>4</v>
      </c>
      <c r="AL11" s="32"/>
      <c r="AM11" s="32"/>
      <c r="AN11" s="32"/>
      <c r="AO11" s="32"/>
      <c r="AP11" s="32"/>
      <c r="AQ11" s="32">
        <v>2</v>
      </c>
      <c r="AR11" s="32">
        <v>1</v>
      </c>
      <c r="AS11" s="32"/>
      <c r="AT11" s="32"/>
      <c r="AU11" s="32"/>
      <c r="AV11" s="32"/>
      <c r="AW11" s="32"/>
      <c r="AX11" s="218"/>
      <c r="AY11" s="218"/>
      <c r="AZ11" s="32">
        <v>1</v>
      </c>
      <c r="BA11" s="218">
        <v>1</v>
      </c>
      <c r="BB11" s="32">
        <v>1</v>
      </c>
      <c r="BC11" s="32">
        <v>3</v>
      </c>
      <c r="BD11" s="32">
        <v>4</v>
      </c>
      <c r="BE11" s="32">
        <v>1</v>
      </c>
      <c r="BF11" s="32">
        <v>1</v>
      </c>
      <c r="BG11" s="32">
        <v>2</v>
      </c>
      <c r="BH11" s="337">
        <v>2</v>
      </c>
      <c r="BI11" s="150"/>
      <c r="BJ11" s="40">
        <v>7</v>
      </c>
      <c r="BK11" s="40"/>
      <c r="BL11" s="150"/>
      <c r="BM11" s="27"/>
      <c r="BN11" s="27"/>
      <c r="BO11" s="27"/>
      <c r="BP11" s="27"/>
    </row>
    <row r="12" spans="2:68" ht="11.25">
      <c r="B12" s="27">
        <v>2</v>
      </c>
      <c r="C12" s="40">
        <v>26</v>
      </c>
      <c r="D12" s="39" t="s">
        <v>779</v>
      </c>
      <c r="E12" s="32">
        <f t="shared" si="1"/>
        <v>24</v>
      </c>
      <c r="F12" s="32">
        <f t="shared" si="2"/>
        <v>2</v>
      </c>
      <c r="G12" s="33">
        <f>C_S_G($H12:BH12,$H$9:BH$9,csg_table,E$9,F12)</f>
        <v>0.8719239373601789</v>
      </c>
      <c r="H12" s="32">
        <v>3</v>
      </c>
      <c r="I12" s="32">
        <v>2</v>
      </c>
      <c r="J12" s="32"/>
      <c r="K12" s="32"/>
      <c r="L12" s="32">
        <v>1</v>
      </c>
      <c r="M12" s="32">
        <v>2</v>
      </c>
      <c r="N12" s="32">
        <v>2</v>
      </c>
      <c r="O12" s="32">
        <v>3</v>
      </c>
      <c r="P12" s="32">
        <v>1</v>
      </c>
      <c r="Q12" s="32" t="s">
        <v>299</v>
      </c>
      <c r="R12" s="32">
        <v>6</v>
      </c>
      <c r="S12" s="32">
        <v>2</v>
      </c>
      <c r="T12" s="32">
        <v>4</v>
      </c>
      <c r="U12" s="32">
        <v>6</v>
      </c>
      <c r="V12" s="32">
        <v>7</v>
      </c>
      <c r="W12" s="32">
        <v>1</v>
      </c>
      <c r="X12" s="32">
        <v>1</v>
      </c>
      <c r="Y12" s="32"/>
      <c r="Z12" s="32"/>
      <c r="AA12" s="32">
        <v>10</v>
      </c>
      <c r="AB12" s="32">
        <v>4</v>
      </c>
      <c r="AC12" s="32"/>
      <c r="AD12" s="32"/>
      <c r="AE12" s="32"/>
      <c r="AF12" s="32">
        <v>9</v>
      </c>
      <c r="AG12" s="32">
        <v>5</v>
      </c>
      <c r="AH12" s="32">
        <v>9</v>
      </c>
      <c r="AI12" s="32"/>
      <c r="AJ12" s="32"/>
      <c r="AK12" s="32">
        <v>1</v>
      </c>
      <c r="AL12" s="32"/>
      <c r="AM12" s="32"/>
      <c r="AN12" s="32"/>
      <c r="AO12" s="32"/>
      <c r="AP12" s="32"/>
      <c r="AQ12" s="32">
        <v>1</v>
      </c>
      <c r="AR12" s="32">
        <v>2</v>
      </c>
      <c r="AS12" s="32"/>
      <c r="AT12" s="32"/>
      <c r="AU12" s="32"/>
      <c r="AV12" s="32"/>
      <c r="AW12" s="32"/>
      <c r="AX12" s="218"/>
      <c r="AY12" s="218"/>
      <c r="AZ12" s="32"/>
      <c r="BA12" s="218" t="s">
        <v>299</v>
      </c>
      <c r="BB12" s="32"/>
      <c r="BC12" s="32"/>
      <c r="BD12" s="32"/>
      <c r="BE12" s="32"/>
      <c r="BF12" s="32"/>
      <c r="BG12" s="32"/>
      <c r="BH12" s="338"/>
      <c r="BI12" s="150"/>
      <c r="BJ12" s="40"/>
      <c r="BK12" s="40"/>
      <c r="BL12" s="150"/>
      <c r="BM12" s="27"/>
      <c r="BN12" s="27"/>
      <c r="BO12" s="27"/>
      <c r="BP12" s="27"/>
    </row>
    <row r="13" spans="2:68" ht="11.25">
      <c r="B13" s="27">
        <v>3</v>
      </c>
      <c r="C13" s="40">
        <v>25</v>
      </c>
      <c r="D13" s="39" t="s">
        <v>357</v>
      </c>
      <c r="E13" s="32">
        <f t="shared" si="1"/>
        <v>51</v>
      </c>
      <c r="F13" s="32">
        <f t="shared" si="2"/>
        <v>3</v>
      </c>
      <c r="G13" s="33">
        <f>C_S_G($H13:BH13,$H$9:BH$9,csg_table,E$9,F13)</f>
        <v>0.8647420475808607</v>
      </c>
      <c r="H13" s="32">
        <v>6</v>
      </c>
      <c r="I13" s="32">
        <v>7</v>
      </c>
      <c r="J13" s="32">
        <v>2</v>
      </c>
      <c r="K13" s="32">
        <v>6</v>
      </c>
      <c r="L13" s="32">
        <v>2</v>
      </c>
      <c r="M13" s="32">
        <v>7</v>
      </c>
      <c r="N13" s="32">
        <v>10</v>
      </c>
      <c r="O13" s="32">
        <v>5</v>
      </c>
      <c r="P13" s="32">
        <v>6</v>
      </c>
      <c r="Q13" s="32">
        <v>2</v>
      </c>
      <c r="R13" s="32">
        <v>3</v>
      </c>
      <c r="S13" s="32">
        <v>6</v>
      </c>
      <c r="T13" s="32">
        <v>1</v>
      </c>
      <c r="U13" s="32">
        <v>1</v>
      </c>
      <c r="V13" s="32">
        <v>3</v>
      </c>
      <c r="W13" s="32">
        <v>2</v>
      </c>
      <c r="X13" s="32">
        <v>6</v>
      </c>
      <c r="Y13" s="32">
        <v>5</v>
      </c>
      <c r="Z13" s="32">
        <v>3</v>
      </c>
      <c r="AA13" s="32">
        <v>2</v>
      </c>
      <c r="AB13" s="32">
        <v>2</v>
      </c>
      <c r="AC13" s="32">
        <v>8</v>
      </c>
      <c r="AD13" s="32">
        <v>3</v>
      </c>
      <c r="AE13" s="32">
        <v>6</v>
      </c>
      <c r="AF13" s="32" t="s">
        <v>517</v>
      </c>
      <c r="AG13" s="32">
        <v>13</v>
      </c>
      <c r="AH13" s="32">
        <v>6</v>
      </c>
      <c r="AI13" s="32">
        <v>7</v>
      </c>
      <c r="AJ13" s="32">
        <v>5</v>
      </c>
      <c r="AK13" s="32">
        <v>5</v>
      </c>
      <c r="AL13" s="32">
        <v>3</v>
      </c>
      <c r="AM13" s="32">
        <v>4</v>
      </c>
      <c r="AN13" s="32">
        <v>2</v>
      </c>
      <c r="AO13" s="32">
        <v>1</v>
      </c>
      <c r="AP13" s="32">
        <v>1</v>
      </c>
      <c r="AQ13" s="32"/>
      <c r="AR13" s="32"/>
      <c r="AS13" s="32">
        <v>4</v>
      </c>
      <c r="AT13" s="32">
        <v>1</v>
      </c>
      <c r="AU13" s="32">
        <v>4</v>
      </c>
      <c r="AV13" s="32">
        <v>8</v>
      </c>
      <c r="AW13" s="32">
        <v>1</v>
      </c>
      <c r="AX13" s="218">
        <v>1</v>
      </c>
      <c r="AY13" s="218">
        <v>1</v>
      </c>
      <c r="AZ13" s="32">
        <v>2</v>
      </c>
      <c r="BA13" s="218">
        <v>2</v>
      </c>
      <c r="BB13" s="32">
        <v>2</v>
      </c>
      <c r="BC13" s="32">
        <v>1</v>
      </c>
      <c r="BD13" s="32">
        <v>3</v>
      </c>
      <c r="BE13" s="32">
        <v>3</v>
      </c>
      <c r="BF13" s="32">
        <v>2</v>
      </c>
      <c r="BG13" s="32">
        <v>1</v>
      </c>
      <c r="BH13" s="338">
        <v>3</v>
      </c>
      <c r="BI13" s="150"/>
      <c r="BJ13" s="40"/>
      <c r="BK13" s="40"/>
      <c r="BL13" s="150"/>
      <c r="BM13" s="27"/>
      <c r="BN13" s="27"/>
      <c r="BO13" s="27"/>
      <c r="BP13" s="27"/>
    </row>
    <row r="14" spans="2:68" ht="11.25">
      <c r="B14" s="27">
        <v>4</v>
      </c>
      <c r="C14" s="40">
        <v>221</v>
      </c>
      <c r="D14" s="39" t="s">
        <v>407</v>
      </c>
      <c r="E14" s="32">
        <f t="shared" si="1"/>
        <v>40</v>
      </c>
      <c r="F14" s="32">
        <f t="shared" si="2"/>
        <v>3</v>
      </c>
      <c r="G14" s="33">
        <f>C_S_G($H14:BH14,$H$9:BH$9,csg_table,E$9,F14)</f>
        <v>0.8643956763838847</v>
      </c>
      <c r="H14" s="32">
        <v>2</v>
      </c>
      <c r="I14" s="32">
        <v>1</v>
      </c>
      <c r="J14" s="32">
        <v>5</v>
      </c>
      <c r="K14" s="32">
        <v>3</v>
      </c>
      <c r="L14" s="32">
        <v>7</v>
      </c>
      <c r="M14" s="32">
        <v>3</v>
      </c>
      <c r="N14" s="32">
        <v>4</v>
      </c>
      <c r="O14" s="32">
        <v>6</v>
      </c>
      <c r="P14" s="32">
        <v>2</v>
      </c>
      <c r="Q14" s="32">
        <v>8</v>
      </c>
      <c r="R14" s="32">
        <v>4</v>
      </c>
      <c r="S14" s="32">
        <v>3</v>
      </c>
      <c r="T14" s="32">
        <v>2</v>
      </c>
      <c r="U14" s="32">
        <v>5</v>
      </c>
      <c r="V14" s="32">
        <v>2</v>
      </c>
      <c r="W14" s="32">
        <v>5</v>
      </c>
      <c r="X14" s="32">
        <v>7</v>
      </c>
      <c r="Y14" s="32">
        <v>4</v>
      </c>
      <c r="Z14" s="32">
        <v>1</v>
      </c>
      <c r="AA14" s="32">
        <v>5</v>
      </c>
      <c r="AB14" s="32">
        <v>3</v>
      </c>
      <c r="AC14" s="32">
        <v>5</v>
      </c>
      <c r="AD14" s="32">
        <v>2</v>
      </c>
      <c r="AE14" s="32">
        <v>3</v>
      </c>
      <c r="AF14" s="32">
        <v>5</v>
      </c>
      <c r="AG14" s="32">
        <v>2</v>
      </c>
      <c r="AH14" s="32">
        <v>4</v>
      </c>
      <c r="AI14" s="32">
        <v>2</v>
      </c>
      <c r="AJ14" s="32">
        <v>7</v>
      </c>
      <c r="AK14" s="32">
        <v>2</v>
      </c>
      <c r="AL14" s="32">
        <v>1</v>
      </c>
      <c r="AM14" s="32">
        <v>3</v>
      </c>
      <c r="AN14" s="32">
        <v>1</v>
      </c>
      <c r="AO14" s="32"/>
      <c r="AP14" s="32"/>
      <c r="AQ14" s="32"/>
      <c r="AR14" s="32"/>
      <c r="AS14" s="32">
        <v>3</v>
      </c>
      <c r="AT14" s="32">
        <v>6</v>
      </c>
      <c r="AU14" s="32">
        <v>5</v>
      </c>
      <c r="AV14" s="32">
        <v>5</v>
      </c>
      <c r="AW14" s="32">
        <v>4</v>
      </c>
      <c r="AX14" s="218">
        <v>4</v>
      </c>
      <c r="AY14" s="218">
        <v>4</v>
      </c>
      <c r="AZ14" s="32"/>
      <c r="BA14" s="218"/>
      <c r="BB14" s="32"/>
      <c r="BC14" s="32"/>
      <c r="BD14" s="32"/>
      <c r="BE14" s="32"/>
      <c r="BF14" s="32"/>
      <c r="BG14" s="32"/>
      <c r="BH14" s="338"/>
      <c r="BI14" s="150"/>
      <c r="BJ14" s="40">
        <v>7</v>
      </c>
      <c r="BK14" s="40"/>
      <c r="BL14" s="150"/>
      <c r="BM14" s="27"/>
      <c r="BN14" s="27"/>
      <c r="BO14" s="27"/>
      <c r="BP14" s="27"/>
    </row>
    <row r="15" spans="2:68" ht="11.25">
      <c r="B15" s="27">
        <v>5</v>
      </c>
      <c r="C15" s="40">
        <v>182</v>
      </c>
      <c r="D15" s="39" t="s">
        <v>359</v>
      </c>
      <c r="E15" s="32">
        <f t="shared" si="1"/>
        <v>31</v>
      </c>
      <c r="F15" s="32">
        <f t="shared" si="2"/>
        <v>3</v>
      </c>
      <c r="G15" s="33">
        <f>C_S_G($H15:BH15,$H$9:BH$9,csg_table,E$9,F15)</f>
        <v>0.84852487890797</v>
      </c>
      <c r="H15" s="32"/>
      <c r="I15" s="32"/>
      <c r="J15" s="32"/>
      <c r="K15" s="32"/>
      <c r="L15" s="32"/>
      <c r="M15" s="32"/>
      <c r="N15" s="32">
        <v>7</v>
      </c>
      <c r="O15" s="32">
        <v>4</v>
      </c>
      <c r="P15" s="32">
        <v>5</v>
      </c>
      <c r="Q15" s="32">
        <v>9</v>
      </c>
      <c r="R15" s="32">
        <v>7</v>
      </c>
      <c r="S15" s="32">
        <v>4</v>
      </c>
      <c r="T15" s="32">
        <v>7</v>
      </c>
      <c r="U15" s="32">
        <v>2</v>
      </c>
      <c r="V15" s="32">
        <v>1</v>
      </c>
      <c r="W15" s="32">
        <v>3</v>
      </c>
      <c r="X15" s="32">
        <v>3</v>
      </c>
      <c r="Y15" s="32">
        <v>1</v>
      </c>
      <c r="Z15" s="32">
        <v>7</v>
      </c>
      <c r="AA15" s="32">
        <v>3</v>
      </c>
      <c r="AB15" s="32">
        <v>6</v>
      </c>
      <c r="AC15" s="32">
        <v>1</v>
      </c>
      <c r="AD15" s="32">
        <v>4</v>
      </c>
      <c r="AE15" s="32">
        <v>2</v>
      </c>
      <c r="AF15" s="32" t="s">
        <v>360</v>
      </c>
      <c r="AG15" s="32">
        <v>4</v>
      </c>
      <c r="AH15" s="32">
        <v>8</v>
      </c>
      <c r="AI15" s="32">
        <v>11</v>
      </c>
      <c r="AJ15" s="32">
        <v>2</v>
      </c>
      <c r="AK15" s="32"/>
      <c r="AL15" s="32">
        <v>2</v>
      </c>
      <c r="AM15" s="32">
        <v>1</v>
      </c>
      <c r="AN15" s="32">
        <v>5</v>
      </c>
      <c r="AO15" s="32"/>
      <c r="AP15" s="32"/>
      <c r="AQ15" s="32"/>
      <c r="AR15" s="32"/>
      <c r="AS15" s="32"/>
      <c r="AT15" s="32"/>
      <c r="AU15" s="32"/>
      <c r="AV15" s="32"/>
      <c r="AW15" s="32"/>
      <c r="AX15" s="218"/>
      <c r="AY15" s="218"/>
      <c r="AZ15" s="32"/>
      <c r="BA15" s="218"/>
      <c r="BB15" s="32"/>
      <c r="BC15" s="32"/>
      <c r="BD15" s="32">
        <v>5</v>
      </c>
      <c r="BE15" s="32">
        <v>4</v>
      </c>
      <c r="BF15" s="32">
        <v>3</v>
      </c>
      <c r="BG15" s="32">
        <v>3</v>
      </c>
      <c r="BH15" s="338">
        <v>5</v>
      </c>
      <c r="BI15" s="150"/>
      <c r="BJ15" s="40">
        <v>7</v>
      </c>
      <c r="BK15" s="40"/>
      <c r="BL15" s="150"/>
      <c r="BM15" s="27"/>
      <c r="BN15" s="27"/>
      <c r="BO15" s="27"/>
      <c r="BP15" s="27"/>
    </row>
    <row r="16" spans="2:68" ht="11.25">
      <c r="B16" s="27">
        <v>6</v>
      </c>
      <c r="C16" s="40">
        <v>231</v>
      </c>
      <c r="D16" s="39" t="s">
        <v>419</v>
      </c>
      <c r="E16" s="32">
        <f t="shared" si="1"/>
        <v>28</v>
      </c>
      <c r="F16" s="32">
        <f t="shared" si="2"/>
        <v>2</v>
      </c>
      <c r="G16" s="33">
        <f>C_S_G($H16:BH16,$H$9:BH$9,csg_table,E$9,F16)</f>
        <v>0.8385205232295896</v>
      </c>
      <c r="H16" s="32">
        <v>4</v>
      </c>
      <c r="I16" s="32">
        <v>4</v>
      </c>
      <c r="J16" s="32">
        <v>6</v>
      </c>
      <c r="K16" s="32">
        <v>1</v>
      </c>
      <c r="L16" s="32">
        <v>4</v>
      </c>
      <c r="M16" s="32">
        <v>1</v>
      </c>
      <c r="N16" s="32"/>
      <c r="O16" s="32"/>
      <c r="P16" s="32">
        <v>4</v>
      </c>
      <c r="Q16" s="32">
        <v>6</v>
      </c>
      <c r="R16" s="32">
        <v>5</v>
      </c>
      <c r="S16" s="32">
        <v>7</v>
      </c>
      <c r="T16" s="32">
        <v>8</v>
      </c>
      <c r="U16" s="32">
        <v>4</v>
      </c>
      <c r="V16" s="32">
        <v>8</v>
      </c>
      <c r="W16" s="32">
        <v>9</v>
      </c>
      <c r="X16" s="32"/>
      <c r="Y16" s="32"/>
      <c r="Z16" s="32"/>
      <c r="AA16" s="32">
        <v>7</v>
      </c>
      <c r="AB16" s="32">
        <v>7</v>
      </c>
      <c r="AC16" s="32">
        <v>3</v>
      </c>
      <c r="AD16" s="32">
        <v>5</v>
      </c>
      <c r="AE16" s="32">
        <v>5</v>
      </c>
      <c r="AF16" s="32">
        <v>3</v>
      </c>
      <c r="AG16" s="32">
        <v>1</v>
      </c>
      <c r="AH16" s="32">
        <v>3</v>
      </c>
      <c r="AI16" s="32">
        <v>3</v>
      </c>
      <c r="AJ16" s="32">
        <v>4</v>
      </c>
      <c r="AK16" s="32">
        <v>3</v>
      </c>
      <c r="AL16" s="32">
        <v>4</v>
      </c>
      <c r="AM16" s="32">
        <v>5</v>
      </c>
      <c r="AN16" s="32">
        <v>4</v>
      </c>
      <c r="AO16" s="32"/>
      <c r="AP16" s="32"/>
      <c r="AQ16" s="32"/>
      <c r="AR16" s="32"/>
      <c r="AS16" s="32"/>
      <c r="AT16" s="32"/>
      <c r="AU16" s="32"/>
      <c r="AV16" s="32"/>
      <c r="AW16" s="32"/>
      <c r="AX16" s="218"/>
      <c r="AY16" s="218"/>
      <c r="AZ16" s="32"/>
      <c r="BA16" s="218"/>
      <c r="BB16" s="32"/>
      <c r="BC16" s="32"/>
      <c r="BD16" s="32"/>
      <c r="BE16" s="32"/>
      <c r="BF16" s="32"/>
      <c r="BG16" s="32"/>
      <c r="BH16" s="338"/>
      <c r="BI16" s="150"/>
      <c r="BJ16" s="40"/>
      <c r="BK16" s="40"/>
      <c r="BL16" s="150"/>
      <c r="BM16" s="27"/>
      <c r="BN16" s="27"/>
      <c r="BO16" s="27"/>
      <c r="BP16" s="27"/>
    </row>
    <row r="17" spans="2:68" ht="11.25">
      <c r="B17" s="27">
        <v>7</v>
      </c>
      <c r="C17" s="40">
        <v>176</v>
      </c>
      <c r="D17" s="39" t="s">
        <v>406</v>
      </c>
      <c r="E17" s="32">
        <f t="shared" si="1"/>
        <v>40</v>
      </c>
      <c r="F17" s="32">
        <f t="shared" si="2"/>
        <v>3</v>
      </c>
      <c r="G17" s="33">
        <f>C_S_G($H17:BH17,$H$9:BH$9,csg_table,E$9,F17)</f>
        <v>0.80545015522594</v>
      </c>
      <c r="H17" s="32"/>
      <c r="I17" s="32"/>
      <c r="J17" s="32">
        <v>4</v>
      </c>
      <c r="K17" s="32">
        <v>4</v>
      </c>
      <c r="L17" s="32">
        <v>6</v>
      </c>
      <c r="M17" s="32">
        <v>6</v>
      </c>
      <c r="N17" s="32">
        <v>6</v>
      </c>
      <c r="O17" s="32">
        <v>2</v>
      </c>
      <c r="P17" s="32">
        <v>8</v>
      </c>
      <c r="Q17" s="32">
        <v>5</v>
      </c>
      <c r="R17" s="32"/>
      <c r="S17" s="32"/>
      <c r="T17" s="32"/>
      <c r="U17" s="32"/>
      <c r="V17" s="32"/>
      <c r="W17" s="32"/>
      <c r="X17" s="32">
        <v>5</v>
      </c>
      <c r="Y17" s="32">
        <v>3</v>
      </c>
      <c r="Z17" s="32">
        <v>6</v>
      </c>
      <c r="AA17" s="32">
        <v>6</v>
      </c>
      <c r="AB17" s="32">
        <v>11</v>
      </c>
      <c r="AC17" s="32">
        <v>9</v>
      </c>
      <c r="AD17" s="32">
        <v>10</v>
      </c>
      <c r="AE17" s="32">
        <v>10</v>
      </c>
      <c r="AF17" s="32">
        <v>4</v>
      </c>
      <c r="AG17" s="32">
        <v>8</v>
      </c>
      <c r="AH17" s="32">
        <v>7</v>
      </c>
      <c r="AI17" s="32">
        <v>4</v>
      </c>
      <c r="AJ17" s="32">
        <v>3</v>
      </c>
      <c r="AK17" s="32"/>
      <c r="AL17" s="32">
        <v>5</v>
      </c>
      <c r="AM17" s="32">
        <v>2</v>
      </c>
      <c r="AN17" s="32">
        <v>6</v>
      </c>
      <c r="AO17" s="32">
        <v>2</v>
      </c>
      <c r="AP17" s="32">
        <v>5</v>
      </c>
      <c r="AQ17" s="32"/>
      <c r="AR17" s="32"/>
      <c r="AS17" s="32">
        <v>7</v>
      </c>
      <c r="AT17" s="32">
        <v>3</v>
      </c>
      <c r="AU17" s="32">
        <v>6</v>
      </c>
      <c r="AV17" s="32">
        <v>6</v>
      </c>
      <c r="AW17" s="32" t="s">
        <v>517</v>
      </c>
      <c r="AX17" s="218">
        <v>3</v>
      </c>
      <c r="AY17" s="218">
        <v>2</v>
      </c>
      <c r="AZ17" s="32"/>
      <c r="BA17" s="218"/>
      <c r="BB17" s="32">
        <v>3</v>
      </c>
      <c r="BC17" s="32">
        <v>2</v>
      </c>
      <c r="BD17" s="32">
        <v>2</v>
      </c>
      <c r="BE17" s="32">
        <v>5</v>
      </c>
      <c r="BF17" s="32">
        <v>5</v>
      </c>
      <c r="BG17" s="32">
        <v>4</v>
      </c>
      <c r="BH17" s="338">
        <v>1</v>
      </c>
      <c r="BI17" s="150"/>
      <c r="BJ17" s="40"/>
      <c r="BK17" s="40"/>
      <c r="BL17" s="150"/>
      <c r="BM17" s="27"/>
      <c r="BN17" s="27"/>
      <c r="BO17" s="27"/>
      <c r="BP17" s="27"/>
    </row>
    <row r="18" spans="2:68" ht="11.25">
      <c r="B18" s="27">
        <v>8</v>
      </c>
      <c r="C18" s="40">
        <v>49</v>
      </c>
      <c r="D18" s="39" t="s">
        <v>526</v>
      </c>
      <c r="E18" s="32">
        <v>23</v>
      </c>
      <c r="F18" s="32">
        <f t="shared" si="2"/>
        <v>2</v>
      </c>
      <c r="G18" s="33">
        <f>C_S_G($H18:BI18,$J$9:BH$9,csg_table,E$9,F18)</f>
        <v>0.7977611940298508</v>
      </c>
      <c r="H18" s="32">
        <v>8</v>
      </c>
      <c r="I18" s="32">
        <v>6</v>
      </c>
      <c r="J18" s="32">
        <v>3</v>
      </c>
      <c r="K18" s="32">
        <v>5</v>
      </c>
      <c r="L18" s="32"/>
      <c r="M18" s="32"/>
      <c r="N18" s="32"/>
      <c r="O18" s="32"/>
      <c r="P18" s="32"/>
      <c r="Q18" s="32"/>
      <c r="R18" s="32">
        <v>11</v>
      </c>
      <c r="S18" s="32">
        <v>5</v>
      </c>
      <c r="T18" s="32">
        <v>3</v>
      </c>
      <c r="U18" s="32">
        <v>9</v>
      </c>
      <c r="V18" s="32"/>
      <c r="W18" s="32"/>
      <c r="X18" s="32"/>
      <c r="Y18" s="32"/>
      <c r="Z18" s="32"/>
      <c r="AA18" s="32">
        <v>1</v>
      </c>
      <c r="AB18" s="32">
        <v>5</v>
      </c>
      <c r="AC18" s="32">
        <v>13</v>
      </c>
      <c r="AD18" s="32">
        <v>7</v>
      </c>
      <c r="AE18" s="32">
        <v>12</v>
      </c>
      <c r="AF18" s="32">
        <v>7</v>
      </c>
      <c r="AG18" s="32">
        <v>7</v>
      </c>
      <c r="AH18" s="32">
        <v>2</v>
      </c>
      <c r="AI18" s="32">
        <v>10</v>
      </c>
      <c r="AJ18" s="32">
        <v>1</v>
      </c>
      <c r="AK18" s="32"/>
      <c r="AL18" s="32"/>
      <c r="AM18" s="32"/>
      <c r="AN18" s="32"/>
      <c r="AO18" s="32"/>
      <c r="AP18" s="32"/>
      <c r="AQ18" s="32"/>
      <c r="AR18" s="32"/>
      <c r="AS18" s="32"/>
      <c r="AT18" s="32"/>
      <c r="AU18" s="32"/>
      <c r="AV18" s="32"/>
      <c r="AW18" s="32"/>
      <c r="AX18" s="218"/>
      <c r="AY18" s="218"/>
      <c r="AZ18" s="32"/>
      <c r="BA18" s="218"/>
      <c r="BB18" s="32"/>
      <c r="BC18" s="32"/>
      <c r="BD18" s="32"/>
      <c r="BE18" s="32"/>
      <c r="BF18" s="32"/>
      <c r="BG18" s="32"/>
      <c r="BH18" s="338"/>
      <c r="BI18" s="150"/>
      <c r="BJ18" s="40">
        <v>5</v>
      </c>
      <c r="BK18" s="40"/>
      <c r="BL18" s="150"/>
      <c r="BM18" s="27"/>
      <c r="BN18" s="27"/>
      <c r="BO18" s="27"/>
      <c r="BP18" s="27"/>
    </row>
    <row r="19" spans="2:68" ht="11.25">
      <c r="B19" s="27">
        <v>9</v>
      </c>
      <c r="C19" s="40">
        <v>197</v>
      </c>
      <c r="D19" s="39" t="s">
        <v>411</v>
      </c>
      <c r="E19" s="32">
        <f>COUNTA(H19:BI19)</f>
        <v>38</v>
      </c>
      <c r="F19" s="32">
        <f t="shared" si="2"/>
        <v>3</v>
      </c>
      <c r="G19" s="33">
        <f>C_S_G($H19:BH19,$H$9:BH$9,csg_table,E$9,F19)</f>
        <v>0.7613271494826971</v>
      </c>
      <c r="H19" s="32">
        <v>7</v>
      </c>
      <c r="I19" s="32">
        <v>9</v>
      </c>
      <c r="J19" s="32"/>
      <c r="K19" s="32"/>
      <c r="L19" s="32">
        <v>10</v>
      </c>
      <c r="M19" s="32">
        <v>8</v>
      </c>
      <c r="N19" s="32">
        <v>3</v>
      </c>
      <c r="O19" s="32">
        <v>8</v>
      </c>
      <c r="P19" s="32">
        <v>7</v>
      </c>
      <c r="Q19" s="32">
        <v>1</v>
      </c>
      <c r="R19" s="32">
        <v>1</v>
      </c>
      <c r="S19" s="32">
        <v>10</v>
      </c>
      <c r="T19" s="32">
        <v>11</v>
      </c>
      <c r="U19" s="32"/>
      <c r="V19" s="32">
        <v>10</v>
      </c>
      <c r="W19" s="32">
        <v>7</v>
      </c>
      <c r="X19" s="32"/>
      <c r="Y19" s="32"/>
      <c r="Z19" s="32"/>
      <c r="AA19" s="32">
        <v>13</v>
      </c>
      <c r="AB19" s="32">
        <v>14</v>
      </c>
      <c r="AC19" s="32">
        <v>12</v>
      </c>
      <c r="AD19" s="32">
        <v>11</v>
      </c>
      <c r="AE19" s="32" t="s">
        <v>299</v>
      </c>
      <c r="AF19" s="32">
        <v>6</v>
      </c>
      <c r="AG19" s="32">
        <v>14</v>
      </c>
      <c r="AH19" s="32">
        <v>5</v>
      </c>
      <c r="AI19" s="32">
        <v>5</v>
      </c>
      <c r="AJ19" s="32">
        <v>10</v>
      </c>
      <c r="AK19" s="32">
        <v>7</v>
      </c>
      <c r="AL19" s="32"/>
      <c r="AM19" s="32"/>
      <c r="AN19" s="32"/>
      <c r="AO19" s="32"/>
      <c r="AP19" s="32"/>
      <c r="AQ19" s="32"/>
      <c r="AR19" s="32"/>
      <c r="AS19" s="32">
        <v>6</v>
      </c>
      <c r="AT19" s="32">
        <v>7</v>
      </c>
      <c r="AU19" s="32">
        <v>2</v>
      </c>
      <c r="AV19" s="32">
        <v>4</v>
      </c>
      <c r="AW19" s="32">
        <v>8</v>
      </c>
      <c r="AX19" s="218">
        <v>7</v>
      </c>
      <c r="AY19" s="218">
        <v>7</v>
      </c>
      <c r="AZ19" s="32">
        <v>4</v>
      </c>
      <c r="BA19" s="218">
        <v>3</v>
      </c>
      <c r="BB19" s="32"/>
      <c r="BC19" s="32"/>
      <c r="BD19" s="32">
        <v>1</v>
      </c>
      <c r="BE19" s="32">
        <v>2</v>
      </c>
      <c r="BF19" s="32">
        <v>4</v>
      </c>
      <c r="BG19" s="32">
        <v>5</v>
      </c>
      <c r="BH19" s="338">
        <v>4</v>
      </c>
      <c r="BI19" s="150"/>
      <c r="BJ19" s="40"/>
      <c r="BK19" s="40"/>
      <c r="BL19" s="150"/>
      <c r="BM19" s="27"/>
      <c r="BN19" s="27"/>
      <c r="BO19" s="27"/>
      <c r="BP19" s="27"/>
    </row>
    <row r="20" spans="2:68" ht="11.25">
      <c r="B20" s="27">
        <v>10</v>
      </c>
      <c r="C20" s="40">
        <v>54</v>
      </c>
      <c r="D20" s="39" t="s">
        <v>414</v>
      </c>
      <c r="E20" s="32">
        <f aca="true" t="shared" si="3" ref="E20:E30">COUNTA(H20:BK20)</f>
        <v>21</v>
      </c>
      <c r="F20" s="32">
        <f t="shared" si="2"/>
        <v>2</v>
      </c>
      <c r="G20" s="33">
        <f>C_S_G($H20:BH20,$H$9:BH$9,csg_table,E$9,F20)</f>
        <v>0.7566844919786097</v>
      </c>
      <c r="H20" s="32"/>
      <c r="I20" s="32">
        <v>10</v>
      </c>
      <c r="J20" s="32"/>
      <c r="K20" s="32"/>
      <c r="L20" s="32"/>
      <c r="M20" s="32"/>
      <c r="N20" s="32"/>
      <c r="O20" s="32"/>
      <c r="P20" s="32"/>
      <c r="Q20" s="32"/>
      <c r="R20" s="32"/>
      <c r="S20" s="32"/>
      <c r="T20" s="32"/>
      <c r="U20" s="32"/>
      <c r="V20" s="32"/>
      <c r="W20" s="32"/>
      <c r="X20" s="32"/>
      <c r="Y20" s="32"/>
      <c r="Z20" s="32"/>
      <c r="AA20" s="32">
        <v>9</v>
      </c>
      <c r="AB20" s="32">
        <v>9</v>
      </c>
      <c r="AC20" s="32">
        <v>11</v>
      </c>
      <c r="AD20" s="32">
        <v>9</v>
      </c>
      <c r="AE20" s="32">
        <v>4</v>
      </c>
      <c r="AF20" s="32">
        <v>2</v>
      </c>
      <c r="AG20" s="32">
        <v>10</v>
      </c>
      <c r="AH20" s="32" t="s">
        <v>290</v>
      </c>
      <c r="AI20" s="32">
        <v>6</v>
      </c>
      <c r="AJ20" s="32">
        <v>6</v>
      </c>
      <c r="AK20" s="32"/>
      <c r="AL20" s="32"/>
      <c r="AM20" s="32"/>
      <c r="AN20" s="32"/>
      <c r="AO20" s="32"/>
      <c r="AP20" s="32"/>
      <c r="AQ20" s="32"/>
      <c r="AR20" s="32"/>
      <c r="AS20" s="32">
        <v>9</v>
      </c>
      <c r="AT20" s="32">
        <v>5</v>
      </c>
      <c r="AU20" s="32">
        <v>7</v>
      </c>
      <c r="AV20" s="32">
        <v>3</v>
      </c>
      <c r="AW20" s="32">
        <v>7</v>
      </c>
      <c r="AX20" s="218">
        <v>6</v>
      </c>
      <c r="AY20" s="218">
        <v>5</v>
      </c>
      <c r="AZ20" s="32"/>
      <c r="BA20" s="218"/>
      <c r="BB20" s="32"/>
      <c r="BC20" s="32"/>
      <c r="BD20" s="32">
        <v>7</v>
      </c>
      <c r="BE20" s="32">
        <v>6</v>
      </c>
      <c r="BF20" s="32">
        <v>7</v>
      </c>
      <c r="BG20" s="32"/>
      <c r="BH20" s="338"/>
      <c r="BI20" s="150"/>
      <c r="BJ20" s="40"/>
      <c r="BK20" s="40"/>
      <c r="BL20" s="150"/>
      <c r="BM20" s="27"/>
      <c r="BN20" s="27"/>
      <c r="BO20" s="27"/>
      <c r="BP20" s="27"/>
    </row>
    <row r="21" spans="2:68" ht="11.25">
      <c r="B21" s="27">
        <v>11</v>
      </c>
      <c r="C21" s="40">
        <v>142</v>
      </c>
      <c r="D21" s="39" t="s">
        <v>839</v>
      </c>
      <c r="E21" s="32">
        <f>COUNTA(H21:BK21)</f>
        <v>35</v>
      </c>
      <c r="F21" s="32">
        <f t="shared" si="2"/>
        <v>3</v>
      </c>
      <c r="G21" s="33">
        <f>C_S_G($H21:BH21,$H$9:BH$9,csg_table,E$9,F21)</f>
        <v>0.75</v>
      </c>
      <c r="H21" s="32"/>
      <c r="I21" s="32"/>
      <c r="J21" s="32"/>
      <c r="K21" s="32"/>
      <c r="L21" s="32">
        <v>8</v>
      </c>
      <c r="M21" s="32">
        <v>10</v>
      </c>
      <c r="N21" s="32">
        <v>8</v>
      </c>
      <c r="O21" s="32">
        <v>7</v>
      </c>
      <c r="P21" s="32">
        <v>11</v>
      </c>
      <c r="Q21" s="32">
        <v>4</v>
      </c>
      <c r="R21" s="32">
        <v>8</v>
      </c>
      <c r="S21" s="32">
        <v>8</v>
      </c>
      <c r="T21" s="32">
        <v>10</v>
      </c>
      <c r="U21" s="32">
        <v>11</v>
      </c>
      <c r="V21" s="32">
        <v>5</v>
      </c>
      <c r="W21" s="32">
        <v>6</v>
      </c>
      <c r="X21" s="32">
        <v>2</v>
      </c>
      <c r="Y21" s="32">
        <v>2</v>
      </c>
      <c r="Z21" s="32">
        <v>2</v>
      </c>
      <c r="AA21" s="32">
        <v>14</v>
      </c>
      <c r="AB21" s="32">
        <v>13</v>
      </c>
      <c r="AC21" s="32">
        <v>7</v>
      </c>
      <c r="AD21" s="32">
        <v>12</v>
      </c>
      <c r="AE21" s="32">
        <v>7</v>
      </c>
      <c r="AF21" s="32"/>
      <c r="AG21" s="32"/>
      <c r="AH21" s="32"/>
      <c r="AI21" s="32"/>
      <c r="AJ21" s="32"/>
      <c r="AK21" s="32">
        <v>6</v>
      </c>
      <c r="AL21" s="32">
        <v>7</v>
      </c>
      <c r="AM21" s="32">
        <v>6</v>
      </c>
      <c r="AN21" s="32">
        <v>3</v>
      </c>
      <c r="AO21" s="32">
        <v>4</v>
      </c>
      <c r="AP21" s="32">
        <v>4</v>
      </c>
      <c r="AQ21" s="32">
        <v>5</v>
      </c>
      <c r="AR21" s="32">
        <v>4</v>
      </c>
      <c r="AS21" s="32">
        <v>8</v>
      </c>
      <c r="AT21" s="32">
        <v>9</v>
      </c>
      <c r="AU21" s="32">
        <v>9</v>
      </c>
      <c r="AV21" s="32"/>
      <c r="AW21" s="32"/>
      <c r="AX21" s="218"/>
      <c r="AY21" s="218"/>
      <c r="AZ21" s="32">
        <v>3</v>
      </c>
      <c r="BA21" s="218"/>
      <c r="BB21" s="32">
        <v>5</v>
      </c>
      <c r="BC21" s="32">
        <v>5</v>
      </c>
      <c r="BD21" s="32"/>
      <c r="BE21" s="32"/>
      <c r="BF21" s="32"/>
      <c r="BG21" s="32"/>
      <c r="BH21" s="338"/>
      <c r="BI21" s="150"/>
      <c r="BJ21" s="40"/>
      <c r="BK21" s="40">
        <v>1</v>
      </c>
      <c r="BL21" s="150"/>
      <c r="BM21" s="27"/>
      <c r="BN21" s="27"/>
      <c r="BO21" s="27"/>
      <c r="BP21" s="27"/>
    </row>
    <row r="22" spans="2:68" ht="11.25">
      <c r="B22" s="27">
        <v>12</v>
      </c>
      <c r="C22" s="40">
        <v>41</v>
      </c>
      <c r="D22" s="39" t="s">
        <v>1133</v>
      </c>
      <c r="E22" s="32">
        <f>COUNTA(H22:BK22)</f>
        <v>27</v>
      </c>
      <c r="F22" s="32">
        <f t="shared" si="2"/>
        <v>2</v>
      </c>
      <c r="G22" s="33">
        <f>C_S_G($H22:BH22,$H$9:BH$9,csg_table,E$9,F22)</f>
        <v>0.7456140350877193</v>
      </c>
      <c r="H22" s="32">
        <v>5</v>
      </c>
      <c r="I22" s="32"/>
      <c r="J22" s="32"/>
      <c r="K22" s="32"/>
      <c r="L22" s="32">
        <v>5</v>
      </c>
      <c r="M22" s="32">
        <v>5</v>
      </c>
      <c r="N22" s="32">
        <v>9</v>
      </c>
      <c r="O22" s="32"/>
      <c r="P22" s="32">
        <v>9</v>
      </c>
      <c r="Q22" s="32">
        <v>7</v>
      </c>
      <c r="R22" s="32"/>
      <c r="S22" s="32"/>
      <c r="T22" s="32"/>
      <c r="U22" s="32"/>
      <c r="V22" s="32"/>
      <c r="W22" s="32"/>
      <c r="X22" s="32">
        <v>4</v>
      </c>
      <c r="Y22" s="32">
        <v>6</v>
      </c>
      <c r="Z22" s="32">
        <v>4</v>
      </c>
      <c r="AA22" s="32">
        <v>11</v>
      </c>
      <c r="AB22" s="32" t="s">
        <v>299</v>
      </c>
      <c r="AC22" s="32">
        <v>10</v>
      </c>
      <c r="AD22" s="32">
        <v>13</v>
      </c>
      <c r="AE22" s="32">
        <v>11</v>
      </c>
      <c r="AF22" s="32" t="s">
        <v>360</v>
      </c>
      <c r="AG22" s="32">
        <v>9</v>
      </c>
      <c r="AH22" s="32">
        <v>11</v>
      </c>
      <c r="AI22" s="32">
        <v>9</v>
      </c>
      <c r="AJ22" s="32">
        <v>8</v>
      </c>
      <c r="AK22" s="32">
        <v>8</v>
      </c>
      <c r="AL22" s="32"/>
      <c r="AM22" s="32"/>
      <c r="AN22" s="32"/>
      <c r="AO22" s="32">
        <v>3</v>
      </c>
      <c r="AP22" s="32">
        <v>2</v>
      </c>
      <c r="AQ22" s="32">
        <v>3</v>
      </c>
      <c r="AR22" s="32">
        <v>3</v>
      </c>
      <c r="AS22" s="32"/>
      <c r="AT22" s="32"/>
      <c r="AU22" s="32"/>
      <c r="AV22" s="32"/>
      <c r="AW22" s="32"/>
      <c r="AX22" s="218"/>
      <c r="AY22" s="218"/>
      <c r="AZ22" s="32"/>
      <c r="BA22" s="218"/>
      <c r="BB22" s="32">
        <v>4</v>
      </c>
      <c r="BC22" s="32">
        <v>6</v>
      </c>
      <c r="BD22" s="32"/>
      <c r="BE22" s="32"/>
      <c r="BF22" s="32"/>
      <c r="BG22" s="32"/>
      <c r="BH22" s="338"/>
      <c r="BI22" s="150"/>
      <c r="BJ22" s="40"/>
      <c r="BK22" s="40">
        <v>3</v>
      </c>
      <c r="BL22" s="150"/>
      <c r="BM22" s="27"/>
      <c r="BN22" s="27"/>
      <c r="BO22" s="27"/>
      <c r="BP22" s="27"/>
    </row>
    <row r="23" spans="2:68" ht="11.25">
      <c r="B23" s="27">
        <v>13</v>
      </c>
      <c r="C23" s="40">
        <v>117</v>
      </c>
      <c r="D23" s="39" t="s">
        <v>781</v>
      </c>
      <c r="E23" s="32">
        <f t="shared" si="3"/>
        <v>39</v>
      </c>
      <c r="F23" s="32">
        <f t="shared" si="2"/>
        <v>3</v>
      </c>
      <c r="G23" s="33">
        <f>C_S_G($H23:BH23,$H$9:BH$9,csg_table,E$9,F23)</f>
        <v>0.7077403679278028</v>
      </c>
      <c r="H23" s="32">
        <v>10</v>
      </c>
      <c r="I23" s="32">
        <v>5</v>
      </c>
      <c r="J23" s="32">
        <v>7</v>
      </c>
      <c r="K23" s="32">
        <v>7</v>
      </c>
      <c r="L23" s="32">
        <v>9</v>
      </c>
      <c r="M23" s="32">
        <v>9</v>
      </c>
      <c r="N23" s="32">
        <v>11</v>
      </c>
      <c r="O23" s="32">
        <v>9</v>
      </c>
      <c r="P23" s="32"/>
      <c r="Q23" s="32"/>
      <c r="R23" s="32">
        <v>9</v>
      </c>
      <c r="S23" s="32">
        <v>9</v>
      </c>
      <c r="T23" s="32">
        <v>5</v>
      </c>
      <c r="U23" s="32">
        <v>8</v>
      </c>
      <c r="V23" s="32">
        <v>4</v>
      </c>
      <c r="W23" s="32">
        <v>8</v>
      </c>
      <c r="X23" s="32">
        <v>8</v>
      </c>
      <c r="Y23" s="32">
        <v>7</v>
      </c>
      <c r="Z23" s="32">
        <v>5</v>
      </c>
      <c r="AA23" s="32">
        <v>15</v>
      </c>
      <c r="AB23" s="32">
        <v>8</v>
      </c>
      <c r="AC23" s="32">
        <v>6</v>
      </c>
      <c r="AD23" s="32">
        <v>8</v>
      </c>
      <c r="AE23" s="32">
        <v>8</v>
      </c>
      <c r="AF23" s="32">
        <v>10</v>
      </c>
      <c r="AG23" s="32">
        <v>11</v>
      </c>
      <c r="AH23" s="32">
        <v>12</v>
      </c>
      <c r="AI23" s="32">
        <v>8</v>
      </c>
      <c r="AJ23" s="32">
        <v>11</v>
      </c>
      <c r="AK23" s="32"/>
      <c r="AL23" s="32">
        <v>6</v>
      </c>
      <c r="AM23" s="32">
        <v>7</v>
      </c>
      <c r="AN23" s="32">
        <v>7</v>
      </c>
      <c r="AO23" s="32"/>
      <c r="AP23" s="32"/>
      <c r="AQ23" s="32">
        <v>4</v>
      </c>
      <c r="AR23" s="32">
        <v>5</v>
      </c>
      <c r="AS23" s="32">
        <v>10</v>
      </c>
      <c r="AT23" s="32">
        <v>10</v>
      </c>
      <c r="AU23" s="32">
        <v>10</v>
      </c>
      <c r="AV23" s="32">
        <v>7</v>
      </c>
      <c r="AW23" s="32">
        <v>9</v>
      </c>
      <c r="AX23" s="218">
        <v>9</v>
      </c>
      <c r="AY23" s="218">
        <v>8</v>
      </c>
      <c r="AZ23" s="32"/>
      <c r="BA23" s="218"/>
      <c r="BB23" s="32"/>
      <c r="BC23" s="32"/>
      <c r="BD23" s="32"/>
      <c r="BE23" s="32"/>
      <c r="BF23" s="32"/>
      <c r="BG23" s="32"/>
      <c r="BH23" s="338"/>
      <c r="BI23" s="150"/>
      <c r="BJ23" s="40"/>
      <c r="BK23" s="40"/>
      <c r="BL23" s="150"/>
      <c r="BM23" s="27"/>
      <c r="BN23" s="27"/>
      <c r="BO23" s="27"/>
      <c r="BP23" s="27"/>
    </row>
    <row r="24" spans="2:68" ht="11.25">
      <c r="B24" s="27">
        <v>14</v>
      </c>
      <c r="C24" s="40">
        <v>106</v>
      </c>
      <c r="D24" s="39" t="s">
        <v>849</v>
      </c>
      <c r="E24" s="32">
        <f t="shared" si="3"/>
        <v>28</v>
      </c>
      <c r="F24" s="32">
        <f t="shared" si="2"/>
        <v>2</v>
      </c>
      <c r="G24" s="33">
        <f>C_S_G($H24:BH24,$H$9:BH$9,csg_table,E$9,F24)</f>
        <v>0.6889106967615309</v>
      </c>
      <c r="H24" s="32">
        <v>11</v>
      </c>
      <c r="I24" s="32"/>
      <c r="J24" s="32"/>
      <c r="K24" s="32"/>
      <c r="L24" s="32">
        <v>12</v>
      </c>
      <c r="M24" s="32"/>
      <c r="N24" s="32"/>
      <c r="O24" s="32"/>
      <c r="P24" s="32"/>
      <c r="Q24" s="32"/>
      <c r="R24" s="32">
        <v>12</v>
      </c>
      <c r="S24" s="32">
        <v>12</v>
      </c>
      <c r="T24" s="32">
        <v>12</v>
      </c>
      <c r="U24" s="32">
        <v>7</v>
      </c>
      <c r="V24" s="32">
        <v>9</v>
      </c>
      <c r="W24" s="32">
        <v>10</v>
      </c>
      <c r="X24" s="32"/>
      <c r="Y24" s="32"/>
      <c r="Z24" s="32"/>
      <c r="AA24" s="32">
        <v>16</v>
      </c>
      <c r="AB24" s="32">
        <v>12</v>
      </c>
      <c r="AC24" s="32">
        <v>4</v>
      </c>
      <c r="AD24" s="32">
        <v>6</v>
      </c>
      <c r="AE24" s="32">
        <v>9</v>
      </c>
      <c r="AF24" s="32">
        <v>11</v>
      </c>
      <c r="AG24" s="32">
        <v>14</v>
      </c>
      <c r="AH24" s="32">
        <v>10</v>
      </c>
      <c r="AI24" s="32">
        <v>12</v>
      </c>
      <c r="AJ24" s="32" t="s">
        <v>299</v>
      </c>
      <c r="AK24" s="32"/>
      <c r="AL24" s="32"/>
      <c r="AM24" s="32"/>
      <c r="AN24" s="32"/>
      <c r="AO24" s="32">
        <v>5</v>
      </c>
      <c r="AP24" s="32">
        <v>3</v>
      </c>
      <c r="AQ24" s="32"/>
      <c r="AR24" s="32"/>
      <c r="AS24" s="32"/>
      <c r="AT24" s="32"/>
      <c r="AU24" s="32"/>
      <c r="AV24" s="32"/>
      <c r="AW24" s="32"/>
      <c r="AX24" s="218"/>
      <c r="AY24" s="218"/>
      <c r="AZ24" s="32"/>
      <c r="BA24" s="218"/>
      <c r="BB24" s="32">
        <v>8</v>
      </c>
      <c r="BC24" s="32">
        <v>7</v>
      </c>
      <c r="BD24" s="32">
        <v>8</v>
      </c>
      <c r="BE24" s="32">
        <v>7</v>
      </c>
      <c r="BF24" s="32">
        <v>8</v>
      </c>
      <c r="BG24" s="32">
        <v>6</v>
      </c>
      <c r="BH24" s="338">
        <v>6</v>
      </c>
      <c r="BI24" s="150"/>
      <c r="BJ24" s="40"/>
      <c r="BK24" s="40">
        <v>2</v>
      </c>
      <c r="BL24" s="150"/>
      <c r="BM24" s="27"/>
      <c r="BN24" s="27"/>
      <c r="BO24" s="27"/>
      <c r="BP24" s="27"/>
    </row>
    <row r="25" spans="2:68" ht="11.25">
      <c r="B25" s="27">
        <v>15</v>
      </c>
      <c r="C25" s="50">
        <v>70</v>
      </c>
      <c r="D25" s="60" t="s">
        <v>837</v>
      </c>
      <c r="E25" s="34">
        <f t="shared" si="3"/>
        <v>23</v>
      </c>
      <c r="F25" s="34">
        <f t="shared" si="2"/>
        <v>2</v>
      </c>
      <c r="G25" s="35">
        <f>C_S_G($H25:BH25,$H$9:BH$9,csg_table,E$9,F25)</f>
        <v>0.6867107636800962</v>
      </c>
      <c r="H25" s="34"/>
      <c r="I25" s="34"/>
      <c r="J25" s="34"/>
      <c r="K25" s="34"/>
      <c r="L25" s="34">
        <v>11</v>
      </c>
      <c r="M25" s="34">
        <v>11</v>
      </c>
      <c r="N25" s="34">
        <v>5</v>
      </c>
      <c r="O25" s="34"/>
      <c r="P25" s="34"/>
      <c r="Q25" s="34"/>
      <c r="R25" s="34"/>
      <c r="S25" s="34"/>
      <c r="T25" s="34"/>
      <c r="U25" s="34"/>
      <c r="V25" s="34"/>
      <c r="W25" s="34"/>
      <c r="X25" s="34"/>
      <c r="Y25" s="34"/>
      <c r="Z25" s="34"/>
      <c r="AA25" s="34">
        <v>12</v>
      </c>
      <c r="AB25" s="34">
        <v>15</v>
      </c>
      <c r="AC25" s="34">
        <v>14</v>
      </c>
      <c r="AD25" s="34">
        <v>14</v>
      </c>
      <c r="AE25" s="34" t="s">
        <v>299</v>
      </c>
      <c r="AF25" s="34" t="s">
        <v>299</v>
      </c>
      <c r="AG25" s="34">
        <v>15</v>
      </c>
      <c r="AH25" s="34"/>
      <c r="AI25" s="34"/>
      <c r="AJ25" s="34"/>
      <c r="AK25" s="34" t="s">
        <v>299</v>
      </c>
      <c r="AL25" s="34"/>
      <c r="AM25" s="34"/>
      <c r="AN25" s="34"/>
      <c r="AO25" s="34"/>
      <c r="AP25" s="34"/>
      <c r="AQ25" s="34"/>
      <c r="AR25" s="34"/>
      <c r="AS25" s="34">
        <v>5</v>
      </c>
      <c r="AT25" s="34">
        <v>8</v>
      </c>
      <c r="AU25" s="34">
        <v>8</v>
      </c>
      <c r="AV25" s="34"/>
      <c r="AW25" s="34">
        <v>5</v>
      </c>
      <c r="AX25" s="219">
        <v>8</v>
      </c>
      <c r="AY25" s="219">
        <v>9</v>
      </c>
      <c r="AZ25" s="34"/>
      <c r="BA25" s="219"/>
      <c r="BB25" s="34">
        <v>6</v>
      </c>
      <c r="BC25" s="34">
        <v>8</v>
      </c>
      <c r="BD25" s="34">
        <v>6</v>
      </c>
      <c r="BE25" s="34">
        <v>8</v>
      </c>
      <c r="BF25" s="34">
        <v>6</v>
      </c>
      <c r="BG25" s="34"/>
      <c r="BH25" s="339"/>
      <c r="BI25" s="330"/>
      <c r="BJ25" s="50"/>
      <c r="BK25" s="50">
        <v>5</v>
      </c>
      <c r="BL25" s="150"/>
      <c r="BM25" s="27"/>
      <c r="BN25" s="27"/>
      <c r="BO25" s="27"/>
      <c r="BP25" s="27"/>
    </row>
    <row r="26" spans="2:68" ht="11.25">
      <c r="B26" s="27" t="s">
        <v>215</v>
      </c>
      <c r="C26" s="40">
        <v>183</v>
      </c>
      <c r="D26" s="39" t="s">
        <v>840</v>
      </c>
      <c r="E26" s="32">
        <f t="shared" si="3"/>
        <v>15</v>
      </c>
      <c r="F26" s="32">
        <f t="shared" si="2"/>
        <v>1</v>
      </c>
      <c r="G26" s="33">
        <f>C_S_G($H26:BF26,$H$9:BF$9,csg_table,E$9,F26)</f>
        <v>0.6888888888888889</v>
      </c>
      <c r="H26" s="32"/>
      <c r="I26" s="32"/>
      <c r="J26" s="32"/>
      <c r="K26" s="32"/>
      <c r="L26" s="32"/>
      <c r="M26" s="32"/>
      <c r="N26" s="32"/>
      <c r="O26" s="32"/>
      <c r="P26" s="32">
        <v>10</v>
      </c>
      <c r="Q26" s="32" t="s">
        <v>299</v>
      </c>
      <c r="R26" s="32">
        <v>10</v>
      </c>
      <c r="S26" s="32">
        <v>11</v>
      </c>
      <c r="T26" s="32">
        <v>9</v>
      </c>
      <c r="U26" s="32">
        <v>10</v>
      </c>
      <c r="V26" s="32"/>
      <c r="W26" s="32"/>
      <c r="X26" s="32"/>
      <c r="Y26" s="32"/>
      <c r="Z26" s="32"/>
      <c r="AA26" s="32">
        <v>8</v>
      </c>
      <c r="AB26" s="32">
        <v>10</v>
      </c>
      <c r="AC26" s="32">
        <v>15</v>
      </c>
      <c r="AD26" s="32" t="s">
        <v>299</v>
      </c>
      <c r="AE26" s="32"/>
      <c r="AF26" s="32">
        <v>8</v>
      </c>
      <c r="AG26" s="32">
        <v>12</v>
      </c>
      <c r="AH26" s="32" t="s">
        <v>299</v>
      </c>
      <c r="AI26" s="32"/>
      <c r="AJ26" s="32"/>
      <c r="AK26" s="32"/>
      <c r="AL26" s="32"/>
      <c r="AM26" s="32"/>
      <c r="AN26" s="32"/>
      <c r="AO26" s="32"/>
      <c r="AP26" s="32"/>
      <c r="AQ26" s="32"/>
      <c r="AR26" s="32"/>
      <c r="AS26" s="32"/>
      <c r="AT26" s="32"/>
      <c r="AU26" s="32"/>
      <c r="AV26" s="32"/>
      <c r="AW26" s="32"/>
      <c r="AX26" s="218"/>
      <c r="AY26" s="218"/>
      <c r="AZ26" s="32"/>
      <c r="BA26" s="218"/>
      <c r="BB26" s="32">
        <v>7</v>
      </c>
      <c r="BC26" s="32">
        <v>4</v>
      </c>
      <c r="BD26" s="32"/>
      <c r="BE26" s="32"/>
      <c r="BF26" s="32"/>
      <c r="BG26" s="32"/>
      <c r="BH26" s="338"/>
      <c r="BI26" s="150"/>
      <c r="BJ26" s="40"/>
      <c r="BK26" s="40"/>
      <c r="BL26" s="150"/>
      <c r="BM26" s="27"/>
      <c r="BN26" s="27"/>
      <c r="BO26" s="27"/>
      <c r="BP26" s="27"/>
    </row>
    <row r="27" spans="2:68" ht="11.25">
      <c r="B27" s="27" t="s">
        <v>215</v>
      </c>
      <c r="C27" s="40">
        <v>5</v>
      </c>
      <c r="D27" s="39" t="s">
        <v>346</v>
      </c>
      <c r="E27" s="32">
        <f t="shared" si="3"/>
        <v>9</v>
      </c>
      <c r="F27" s="32">
        <f t="shared" si="2"/>
        <v>0</v>
      </c>
      <c r="G27" s="33">
        <f>C_S_G($H27:BF27,$H$9:BF$9,csg_table,E$9,F27)</f>
        <v>0.6789536266349584</v>
      </c>
      <c r="H27" s="32">
        <v>12</v>
      </c>
      <c r="I27" s="32"/>
      <c r="J27" s="32">
        <v>8</v>
      </c>
      <c r="K27" s="32"/>
      <c r="L27" s="32"/>
      <c r="M27" s="32"/>
      <c r="N27" s="32"/>
      <c r="O27" s="32"/>
      <c r="P27" s="32">
        <v>12</v>
      </c>
      <c r="Q27" s="32">
        <v>10</v>
      </c>
      <c r="R27" s="32"/>
      <c r="S27" s="32"/>
      <c r="T27" s="32"/>
      <c r="U27" s="32"/>
      <c r="V27" s="32"/>
      <c r="W27" s="32"/>
      <c r="X27" s="32"/>
      <c r="Y27" s="32"/>
      <c r="Z27" s="32"/>
      <c r="AA27" s="32"/>
      <c r="AB27" s="32"/>
      <c r="AC27" s="32"/>
      <c r="AD27" s="32"/>
      <c r="AE27" s="32"/>
      <c r="AF27" s="32"/>
      <c r="AG27" s="32"/>
      <c r="AH27" s="32"/>
      <c r="AI27" s="32"/>
      <c r="AJ27" s="32"/>
      <c r="AK27" s="32"/>
      <c r="AL27" s="32">
        <v>8</v>
      </c>
      <c r="AM27" s="32" t="s">
        <v>290</v>
      </c>
      <c r="AN27" s="32" t="s">
        <v>299</v>
      </c>
      <c r="AO27" s="32"/>
      <c r="AP27" s="32"/>
      <c r="AQ27" s="32"/>
      <c r="AR27" s="32"/>
      <c r="AS27" s="32"/>
      <c r="AT27" s="32"/>
      <c r="AU27" s="32"/>
      <c r="AV27" s="32"/>
      <c r="AW27" s="32"/>
      <c r="AX27" s="218"/>
      <c r="AY27" s="218"/>
      <c r="AZ27" s="32"/>
      <c r="BA27" s="218"/>
      <c r="BB27" s="32">
        <v>9</v>
      </c>
      <c r="BC27" s="32">
        <v>10</v>
      </c>
      <c r="BD27" s="32"/>
      <c r="BE27" s="32"/>
      <c r="BF27" s="32"/>
      <c r="BG27" s="32"/>
      <c r="BH27" s="338"/>
      <c r="BI27" s="150"/>
      <c r="BJ27" s="40"/>
      <c r="BK27" s="40"/>
      <c r="BL27" s="150"/>
      <c r="BM27" s="27"/>
      <c r="BN27" s="27"/>
      <c r="BO27" s="27"/>
      <c r="BP27" s="27"/>
    </row>
    <row r="28" spans="2:68" ht="11.25">
      <c r="B28" s="27" t="s">
        <v>215</v>
      </c>
      <c r="C28" s="40">
        <v>16</v>
      </c>
      <c r="D28" s="39" t="s">
        <v>833</v>
      </c>
      <c r="E28" s="32">
        <f t="shared" si="3"/>
        <v>6</v>
      </c>
      <c r="F28" s="32">
        <f t="shared" si="2"/>
        <v>0</v>
      </c>
      <c r="G28" s="33">
        <f>C_S_G($H28:BF28,$H$9:BF$9,csg_table,E$9,F28)</f>
        <v>0.6848072562358276</v>
      </c>
      <c r="H28" s="32">
        <v>9</v>
      </c>
      <c r="I28" s="32">
        <v>8</v>
      </c>
      <c r="J28" s="32"/>
      <c r="K28" s="32"/>
      <c r="L28" s="32"/>
      <c r="M28" s="32"/>
      <c r="N28" s="32">
        <v>12</v>
      </c>
      <c r="O28" s="32"/>
      <c r="P28" s="32"/>
      <c r="Q28" s="32"/>
      <c r="R28" s="32"/>
      <c r="S28" s="32"/>
      <c r="T28" s="32"/>
      <c r="U28" s="32"/>
      <c r="V28" s="32"/>
      <c r="W28" s="32"/>
      <c r="X28" s="32"/>
      <c r="Y28" s="32"/>
      <c r="Z28" s="32"/>
      <c r="AA28" s="32"/>
      <c r="AB28" s="32"/>
      <c r="AC28" s="32"/>
      <c r="AD28" s="32"/>
      <c r="AE28" s="32"/>
      <c r="AF28" s="32"/>
      <c r="AG28" s="32"/>
      <c r="AH28" s="32"/>
      <c r="AI28" s="32"/>
      <c r="AJ28" s="32"/>
      <c r="AK28" s="32">
        <v>9</v>
      </c>
      <c r="AL28" s="32"/>
      <c r="AM28" s="32"/>
      <c r="AN28" s="32"/>
      <c r="AO28" s="32"/>
      <c r="AP28" s="32"/>
      <c r="AQ28" s="32"/>
      <c r="AR28" s="32"/>
      <c r="AS28" s="32"/>
      <c r="AT28" s="32"/>
      <c r="AU28" s="32"/>
      <c r="AV28" s="32"/>
      <c r="AW28" s="32"/>
      <c r="AX28" s="218"/>
      <c r="AY28" s="218"/>
      <c r="AZ28" s="32">
        <v>5</v>
      </c>
      <c r="BA28" s="218">
        <v>4</v>
      </c>
      <c r="BB28" s="32"/>
      <c r="BC28" s="32"/>
      <c r="BD28" s="32"/>
      <c r="BE28" s="32"/>
      <c r="BF28" s="32"/>
      <c r="BG28" s="32"/>
      <c r="BH28" s="338"/>
      <c r="BI28" s="150"/>
      <c r="BJ28" s="40"/>
      <c r="BK28" s="40"/>
      <c r="BL28" s="150"/>
      <c r="BM28" s="27"/>
      <c r="BN28" s="27"/>
      <c r="BO28" s="27"/>
      <c r="BP28" s="27"/>
    </row>
    <row r="29" spans="2:68" ht="11.25">
      <c r="B29" s="54" t="s">
        <v>215</v>
      </c>
      <c r="C29" s="40">
        <v>38</v>
      </c>
      <c r="D29" s="39" t="s">
        <v>782</v>
      </c>
      <c r="E29" s="32">
        <f t="shared" si="3"/>
        <v>6</v>
      </c>
      <c r="F29" s="32">
        <f t="shared" si="2"/>
        <v>0</v>
      </c>
      <c r="G29" s="33">
        <f>C_S_G($H29:BF29,$H$9:BF$9,csg_table,E$9,F29)</f>
        <v>0.6532258064516129</v>
      </c>
      <c r="H29" s="32"/>
      <c r="I29" s="32"/>
      <c r="J29" s="32"/>
      <c r="K29" s="32"/>
      <c r="L29" s="32"/>
      <c r="M29" s="32"/>
      <c r="N29" s="32" t="s">
        <v>299</v>
      </c>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v>6</v>
      </c>
      <c r="AP29" s="32">
        <v>6</v>
      </c>
      <c r="AQ29" s="32"/>
      <c r="AR29" s="32"/>
      <c r="AS29" s="32"/>
      <c r="AT29" s="32"/>
      <c r="AU29" s="32"/>
      <c r="AV29" s="32"/>
      <c r="AW29" s="32"/>
      <c r="AX29" s="218"/>
      <c r="AY29" s="218"/>
      <c r="AZ29" s="32"/>
      <c r="BA29" s="218"/>
      <c r="BB29" s="32">
        <v>10</v>
      </c>
      <c r="BC29" s="32">
        <v>9</v>
      </c>
      <c r="BD29" s="32"/>
      <c r="BE29" s="32"/>
      <c r="BF29" s="32"/>
      <c r="BG29" s="32"/>
      <c r="BH29" s="338"/>
      <c r="BI29" s="150"/>
      <c r="BJ29" s="40"/>
      <c r="BK29" s="40">
        <v>6</v>
      </c>
      <c r="BL29" s="150"/>
      <c r="BM29" s="27"/>
      <c r="BN29" s="27"/>
      <c r="BO29" s="27"/>
      <c r="BP29" s="27"/>
    </row>
    <row r="30" spans="2:68" ht="11.25">
      <c r="B30" s="54" t="s">
        <v>215</v>
      </c>
      <c r="C30" s="50">
        <v>22</v>
      </c>
      <c r="D30" s="60" t="s">
        <v>412</v>
      </c>
      <c r="E30" s="34">
        <f t="shared" si="3"/>
        <v>0</v>
      </c>
      <c r="F30" s="34">
        <f t="shared" si="2"/>
        <v>0</v>
      </c>
      <c r="G30" s="35">
        <f>C_S_G($H30:BF30,$H$9:BF$9,csg_table,E$9,F30)</f>
        <v>0</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219"/>
      <c r="AY30" s="219"/>
      <c r="AZ30" s="34"/>
      <c r="BA30" s="219"/>
      <c r="BB30" s="34"/>
      <c r="BC30" s="34"/>
      <c r="BD30" s="34"/>
      <c r="BE30" s="34"/>
      <c r="BF30" s="34"/>
      <c r="BG30" s="34"/>
      <c r="BH30" s="339"/>
      <c r="BI30" s="150"/>
      <c r="BJ30" s="50"/>
      <c r="BK30" s="50"/>
      <c r="BL30" s="150"/>
      <c r="BM30" s="27"/>
      <c r="BN30" s="27"/>
      <c r="BO30" s="27"/>
      <c r="BP30" s="27"/>
    </row>
    <row r="31" spans="5:63" s="150" customFormat="1" ht="11.25">
      <c r="E31" s="69"/>
      <c r="F31" s="293"/>
      <c r="G31" s="307"/>
      <c r="BJ31" s="150" t="s">
        <v>1156</v>
      </c>
      <c r="BK31" s="150">
        <v>4</v>
      </c>
    </row>
    <row r="32" spans="2:51" ht="11.25">
      <c r="B32" s="191" t="s">
        <v>215</v>
      </c>
      <c r="C32" s="136">
        <f>ROUND((E9)*0.4,0)</f>
        <v>21</v>
      </c>
      <c r="D32" s="191" t="s">
        <v>897</v>
      </c>
      <c r="F32" s="25" t="s">
        <v>191</v>
      </c>
      <c r="AS32" s="365" t="s">
        <v>131</v>
      </c>
      <c r="AT32" s="365"/>
      <c r="AU32" s="365"/>
      <c r="AV32" s="365"/>
      <c r="AW32" s="365"/>
      <c r="AX32" s="365"/>
      <c r="AY32" s="365"/>
    </row>
    <row r="33" spans="4:33" ht="11.25">
      <c r="D33" s="27" t="s">
        <v>211</v>
      </c>
      <c r="Q33" s="27" t="s">
        <v>191</v>
      </c>
      <c r="AG33" s="27" t="s">
        <v>102</v>
      </c>
    </row>
    <row r="34" ht="11.25">
      <c r="AF34" s="27" t="s">
        <v>609</v>
      </c>
    </row>
    <row r="37" ht="11.25">
      <c r="U37" s="27" t="s">
        <v>191</v>
      </c>
    </row>
    <row r="38" ht="11.25">
      <c r="D38" s="27" t="s">
        <v>191</v>
      </c>
    </row>
  </sheetData>
  <sheetProtection/>
  <mergeCells count="19">
    <mergeCell ref="L5:M5"/>
    <mergeCell ref="N5:O5"/>
    <mergeCell ref="R5:W5"/>
    <mergeCell ref="BD5:BH5"/>
    <mergeCell ref="AS5:AY5"/>
    <mergeCell ref="BB5:BC5"/>
    <mergeCell ref="AO5:AP5"/>
    <mergeCell ref="AQ5:AR5"/>
    <mergeCell ref="AZ5:BA5"/>
    <mergeCell ref="AS32:AY32"/>
    <mergeCell ref="H4:Z4"/>
    <mergeCell ref="F7:G7"/>
    <mergeCell ref="F8:G8"/>
    <mergeCell ref="F9:G9"/>
    <mergeCell ref="X5:Z5"/>
    <mergeCell ref="AL5:AN5"/>
    <mergeCell ref="AA5:AJ5"/>
    <mergeCell ref="P5:Q5"/>
    <mergeCell ref="H5:K5"/>
  </mergeCells>
  <printOptions/>
  <pageMargins left="0.75" right="0.75" top="1" bottom="1" header="0.5" footer="0.5"/>
  <pageSetup fitToHeight="1" fitToWidth="1" horizontalDpi="600" verticalDpi="600" orientation="landscape" scale="84" r:id="rId1"/>
  <colBreaks count="1" manualBreakCount="1">
    <brk id="26" max="65535" man="1"/>
  </colBreaks>
</worksheet>
</file>

<file path=xl/worksheets/sheet20.xml><?xml version="1.0" encoding="utf-8"?>
<worksheet xmlns="http://schemas.openxmlformats.org/spreadsheetml/2006/main" xmlns:r="http://schemas.openxmlformats.org/officeDocument/2006/relationships">
  <sheetPr codeName="Sheet40"/>
  <dimension ref="B1:L124"/>
  <sheetViews>
    <sheetView zoomScalePageLayoutView="0" workbookViewId="0" topLeftCell="A1">
      <selection activeCell="H36" sqref="H36"/>
    </sheetView>
  </sheetViews>
  <sheetFormatPr defaultColWidth="9.140625" defaultRowHeight="12.75"/>
  <cols>
    <col min="1" max="1" width="5.7109375" style="27" customWidth="1"/>
    <col min="2" max="2" width="9.140625" style="24" customWidth="1"/>
    <col min="3" max="3" width="9.140625" style="54" customWidth="1"/>
    <col min="4" max="9" width="9.140625" style="24" customWidth="1"/>
    <col min="10" max="16384" width="9.140625" style="27" customWidth="1"/>
  </cols>
  <sheetData>
    <row r="1" ht="11.25">
      <c r="C1" s="260"/>
    </row>
    <row r="2" spans="2:6" ht="18">
      <c r="B2" s="261" t="s">
        <v>875</v>
      </c>
      <c r="C2" s="262"/>
      <c r="D2" s="259"/>
      <c r="E2" s="259"/>
      <c r="F2" s="99"/>
    </row>
    <row r="3" spans="2:3" ht="12.75">
      <c r="B3" s="145" t="s">
        <v>884</v>
      </c>
      <c r="C3" s="145"/>
    </row>
    <row r="4" spans="2:3" ht="12.75">
      <c r="B4" s="145" t="s">
        <v>885</v>
      </c>
      <c r="C4" s="145"/>
    </row>
    <row r="5" ht="11.25">
      <c r="C5" s="260"/>
    </row>
    <row r="6" spans="2:9" s="76" customFormat="1" ht="18">
      <c r="B6" s="128"/>
      <c r="C6" s="259" t="s">
        <v>787</v>
      </c>
      <c r="D6" s="128"/>
      <c r="E6" s="128"/>
      <c r="F6" s="128"/>
      <c r="G6" s="128"/>
      <c r="H6" s="128"/>
      <c r="I6" s="128"/>
    </row>
    <row r="7" spans="2:9" s="76" customFormat="1" ht="11.25">
      <c r="B7" s="84" t="s">
        <v>351</v>
      </c>
      <c r="C7" s="84" t="s">
        <v>451</v>
      </c>
      <c r="D7" s="84" t="s">
        <v>876</v>
      </c>
      <c r="E7" s="84" t="s">
        <v>877</v>
      </c>
      <c r="F7" s="84" t="s">
        <v>878</v>
      </c>
      <c r="G7" s="84" t="s">
        <v>879</v>
      </c>
      <c r="H7" s="84" t="s">
        <v>880</v>
      </c>
      <c r="I7" s="84" t="s">
        <v>294</v>
      </c>
    </row>
    <row r="8" spans="2:9" s="76" customFormat="1" ht="11.25">
      <c r="B8" s="81">
        <v>1</v>
      </c>
      <c r="C8" s="81">
        <v>26</v>
      </c>
      <c r="D8" s="81">
        <v>1</v>
      </c>
      <c r="E8" s="81">
        <v>1</v>
      </c>
      <c r="F8" s="81">
        <v>4</v>
      </c>
      <c r="G8" s="81">
        <v>1</v>
      </c>
      <c r="H8" s="81">
        <v>2</v>
      </c>
      <c r="I8" s="81">
        <v>9</v>
      </c>
    </row>
    <row r="9" spans="2:9" s="76" customFormat="1" ht="11.25">
      <c r="B9" s="81">
        <v>2</v>
      </c>
      <c r="C9" s="81">
        <v>23</v>
      </c>
      <c r="D9" s="81">
        <v>3</v>
      </c>
      <c r="E9" s="81" t="s">
        <v>881</v>
      </c>
      <c r="F9" s="81">
        <v>1</v>
      </c>
      <c r="G9" s="81">
        <v>3</v>
      </c>
      <c r="H9" s="81">
        <v>3</v>
      </c>
      <c r="I9" s="81">
        <v>12.5</v>
      </c>
    </row>
    <row r="10" spans="2:9" s="76" customFormat="1" ht="11.25">
      <c r="B10" s="81">
        <v>3</v>
      </c>
      <c r="C10" s="81">
        <v>25</v>
      </c>
      <c r="D10" s="81">
        <v>4</v>
      </c>
      <c r="E10" s="81">
        <v>3</v>
      </c>
      <c r="F10" s="81">
        <v>5</v>
      </c>
      <c r="G10" s="81">
        <v>2</v>
      </c>
      <c r="H10" s="81">
        <v>1</v>
      </c>
      <c r="I10" s="81">
        <v>15</v>
      </c>
    </row>
    <row r="11" spans="2:9" s="76" customFormat="1" ht="11.25">
      <c r="B11" s="81">
        <v>4</v>
      </c>
      <c r="C11" s="81">
        <v>176</v>
      </c>
      <c r="D11" s="81">
        <v>7</v>
      </c>
      <c r="E11" s="81">
        <v>2</v>
      </c>
      <c r="F11" s="81">
        <v>3</v>
      </c>
      <c r="G11" s="81">
        <v>4</v>
      </c>
      <c r="H11" s="81">
        <v>4</v>
      </c>
      <c r="I11" s="81">
        <v>20</v>
      </c>
    </row>
    <row r="12" spans="2:9" s="76" customFormat="1" ht="11.25">
      <c r="B12" s="81">
        <v>5</v>
      </c>
      <c r="C12" s="81">
        <v>221</v>
      </c>
      <c r="D12" s="81">
        <v>2</v>
      </c>
      <c r="E12" s="81">
        <v>6</v>
      </c>
      <c r="F12" s="81">
        <v>2</v>
      </c>
      <c r="G12" s="81">
        <v>6</v>
      </c>
      <c r="H12" s="81">
        <v>5</v>
      </c>
      <c r="I12" s="81">
        <v>21</v>
      </c>
    </row>
    <row r="13" spans="2:12" s="76" customFormat="1" ht="11.25">
      <c r="B13" s="81">
        <v>6</v>
      </c>
      <c r="C13" s="81">
        <v>142</v>
      </c>
      <c r="D13" s="81">
        <v>6</v>
      </c>
      <c r="E13" s="81">
        <v>5</v>
      </c>
      <c r="F13" s="81">
        <v>6</v>
      </c>
      <c r="G13" s="81">
        <v>5</v>
      </c>
      <c r="H13" s="81">
        <v>6</v>
      </c>
      <c r="I13" s="81">
        <v>28</v>
      </c>
      <c r="L13" s="76" t="s">
        <v>191</v>
      </c>
    </row>
    <row r="14" spans="2:9" s="76" customFormat="1" ht="11.25">
      <c r="B14" s="81">
        <v>7</v>
      </c>
      <c r="C14" s="81">
        <v>106</v>
      </c>
      <c r="D14" s="81">
        <v>5</v>
      </c>
      <c r="E14" s="81">
        <v>9</v>
      </c>
      <c r="F14" s="81">
        <v>8</v>
      </c>
      <c r="G14" s="81">
        <v>7</v>
      </c>
      <c r="H14" s="81" t="s">
        <v>361</v>
      </c>
      <c r="I14" s="81">
        <v>40</v>
      </c>
    </row>
    <row r="15" spans="2:9" s="76" customFormat="1" ht="11.25">
      <c r="B15" s="81">
        <v>8</v>
      </c>
      <c r="C15" s="81">
        <v>70</v>
      </c>
      <c r="D15" s="81">
        <v>8</v>
      </c>
      <c r="E15" s="81">
        <v>4</v>
      </c>
      <c r="F15" s="81" t="s">
        <v>361</v>
      </c>
      <c r="G15" s="81" t="s">
        <v>361</v>
      </c>
      <c r="H15" s="81" t="s">
        <v>361</v>
      </c>
      <c r="I15" s="81">
        <v>45</v>
      </c>
    </row>
    <row r="16" spans="2:9" s="76" customFormat="1" ht="11.25">
      <c r="B16" s="81">
        <v>9</v>
      </c>
      <c r="C16" s="81">
        <v>117</v>
      </c>
      <c r="D16" s="81">
        <v>9</v>
      </c>
      <c r="E16" s="81">
        <v>8</v>
      </c>
      <c r="F16" s="81" t="s">
        <v>361</v>
      </c>
      <c r="G16" s="81" t="s">
        <v>361</v>
      </c>
      <c r="H16" s="81" t="s">
        <v>361</v>
      </c>
      <c r="I16" s="81">
        <v>50</v>
      </c>
    </row>
    <row r="17" spans="2:9" s="76" customFormat="1" ht="11.25">
      <c r="B17" s="83">
        <v>10</v>
      </c>
      <c r="C17" s="83">
        <v>5</v>
      </c>
      <c r="D17" s="83" t="s">
        <v>361</v>
      </c>
      <c r="E17" s="83" t="s">
        <v>361</v>
      </c>
      <c r="F17" s="83">
        <v>7</v>
      </c>
      <c r="G17" s="83" t="s">
        <v>299</v>
      </c>
      <c r="H17" s="83" t="s">
        <v>361</v>
      </c>
      <c r="I17" s="83">
        <v>51</v>
      </c>
    </row>
    <row r="18" spans="2:9" s="76" customFormat="1" ht="11.25">
      <c r="B18" s="128"/>
      <c r="C18" s="397" t="s">
        <v>883</v>
      </c>
      <c r="D18" s="397"/>
      <c r="E18" s="128"/>
      <c r="F18" s="128"/>
      <c r="G18" s="128"/>
      <c r="H18" s="128"/>
      <c r="I18" s="128"/>
    </row>
    <row r="19" spans="2:9" s="76" customFormat="1" ht="11.25">
      <c r="B19" s="128"/>
      <c r="C19" s="128"/>
      <c r="D19" s="128"/>
      <c r="E19" s="128"/>
      <c r="F19" s="128"/>
      <c r="G19" s="128"/>
      <c r="H19" s="128"/>
      <c r="I19" s="128"/>
    </row>
    <row r="20" spans="2:9" s="76" customFormat="1" ht="15.75">
      <c r="B20" s="128"/>
      <c r="C20" s="263" t="s">
        <v>882</v>
      </c>
      <c r="D20" s="128"/>
      <c r="E20" s="128"/>
      <c r="F20" s="128"/>
      <c r="G20" s="128"/>
      <c r="H20" s="128"/>
      <c r="I20" s="128"/>
    </row>
    <row r="21" spans="2:9" s="76" customFormat="1" ht="11.25">
      <c r="B21" s="84" t="s">
        <v>351</v>
      </c>
      <c r="C21" s="84" t="s">
        <v>451</v>
      </c>
      <c r="D21" s="84" t="s">
        <v>876</v>
      </c>
      <c r="E21" s="84" t="s">
        <v>877</v>
      </c>
      <c r="F21" s="84" t="s">
        <v>878</v>
      </c>
      <c r="G21" s="84" t="s">
        <v>879</v>
      </c>
      <c r="H21" s="84" t="s">
        <v>880</v>
      </c>
      <c r="I21" s="84" t="s">
        <v>294</v>
      </c>
    </row>
    <row r="22" spans="2:9" s="76" customFormat="1" ht="11.25">
      <c r="B22" s="81">
        <v>1</v>
      </c>
      <c r="C22" s="81">
        <v>10</v>
      </c>
      <c r="D22" s="81">
        <v>1</v>
      </c>
      <c r="E22" s="81">
        <v>1</v>
      </c>
      <c r="F22" s="81">
        <v>2</v>
      </c>
      <c r="G22" s="81">
        <v>2</v>
      </c>
      <c r="H22" s="81">
        <v>2</v>
      </c>
      <c r="I22" s="81">
        <v>8</v>
      </c>
    </row>
    <row r="23" spans="2:9" s="76" customFormat="1" ht="11.25">
      <c r="B23" s="81">
        <v>2</v>
      </c>
      <c r="C23" s="81">
        <v>12</v>
      </c>
      <c r="D23" s="81">
        <v>3</v>
      </c>
      <c r="E23" s="81">
        <v>3</v>
      </c>
      <c r="F23" s="81">
        <v>1</v>
      </c>
      <c r="G23" s="81">
        <v>1</v>
      </c>
      <c r="H23" s="81">
        <v>1</v>
      </c>
      <c r="I23" s="81">
        <v>9</v>
      </c>
    </row>
    <row r="24" spans="2:9" s="76" customFormat="1" ht="11.25">
      <c r="B24" s="83">
        <v>3</v>
      </c>
      <c r="C24" s="83">
        <v>20</v>
      </c>
      <c r="D24" s="83">
        <v>2</v>
      </c>
      <c r="E24" s="83">
        <v>2</v>
      </c>
      <c r="F24" s="83" t="s">
        <v>361</v>
      </c>
      <c r="G24" s="83" t="s">
        <v>361</v>
      </c>
      <c r="H24" s="83" t="s">
        <v>361</v>
      </c>
      <c r="I24" s="83">
        <v>16</v>
      </c>
    </row>
    <row r="25" spans="2:9" s="76" customFormat="1" ht="11.25">
      <c r="B25" s="128"/>
      <c r="C25" s="128"/>
      <c r="D25" s="128"/>
      <c r="E25" s="128"/>
      <c r="F25" s="128"/>
      <c r="G25" s="128"/>
      <c r="H25" s="128"/>
      <c r="I25" s="128"/>
    </row>
    <row r="26" spans="2:9" s="76" customFormat="1" ht="18">
      <c r="B26" s="128"/>
      <c r="C26" s="259" t="s">
        <v>738</v>
      </c>
      <c r="D26" s="128"/>
      <c r="E26" s="128"/>
      <c r="F26" s="128"/>
      <c r="G26" s="128"/>
      <c r="H26" s="128"/>
      <c r="I26" s="128"/>
    </row>
    <row r="27" spans="2:9" s="76" customFormat="1" ht="11.25">
      <c r="B27" s="84" t="s">
        <v>351</v>
      </c>
      <c r="C27" s="84" t="s">
        <v>451</v>
      </c>
      <c r="D27" s="84" t="s">
        <v>876</v>
      </c>
      <c r="E27" s="84" t="s">
        <v>877</v>
      </c>
      <c r="F27" s="84" t="s">
        <v>878</v>
      </c>
      <c r="G27" s="84" t="s">
        <v>879</v>
      </c>
      <c r="H27" s="84" t="s">
        <v>880</v>
      </c>
      <c r="I27" s="84" t="s">
        <v>294</v>
      </c>
    </row>
    <row r="28" spans="2:9" s="76" customFormat="1" ht="11.25">
      <c r="B28" s="81">
        <v>1</v>
      </c>
      <c r="C28" s="81">
        <v>62</v>
      </c>
      <c r="D28" s="81">
        <v>4</v>
      </c>
      <c r="E28" s="81">
        <v>1</v>
      </c>
      <c r="F28" s="81">
        <v>3</v>
      </c>
      <c r="G28" s="81">
        <v>5</v>
      </c>
      <c r="H28" s="81">
        <v>2</v>
      </c>
      <c r="I28" s="81">
        <v>15</v>
      </c>
    </row>
    <row r="29" spans="2:9" s="76" customFormat="1" ht="11.25">
      <c r="B29" s="81">
        <v>2</v>
      </c>
      <c r="C29" s="81">
        <v>1209</v>
      </c>
      <c r="D29" s="81">
        <v>1</v>
      </c>
      <c r="E29" s="81">
        <v>4</v>
      </c>
      <c r="F29" s="81">
        <v>5</v>
      </c>
      <c r="G29" s="81">
        <v>1</v>
      </c>
      <c r="H29" s="81">
        <v>5</v>
      </c>
      <c r="I29" s="81">
        <v>16</v>
      </c>
    </row>
    <row r="30" spans="2:9" s="76" customFormat="1" ht="11.25">
      <c r="B30" s="81">
        <v>3</v>
      </c>
      <c r="C30" s="81">
        <v>427</v>
      </c>
      <c r="D30" s="81">
        <v>3</v>
      </c>
      <c r="E30" s="81">
        <v>3</v>
      </c>
      <c r="F30" s="81">
        <v>4</v>
      </c>
      <c r="G30" s="81">
        <v>2</v>
      </c>
      <c r="H30" s="81">
        <v>4</v>
      </c>
      <c r="I30" s="81">
        <v>16</v>
      </c>
    </row>
    <row r="31" spans="2:9" s="76" customFormat="1" ht="11.25">
      <c r="B31" s="81">
        <v>4</v>
      </c>
      <c r="C31" s="81">
        <v>1222</v>
      </c>
      <c r="D31" s="81" t="s">
        <v>299</v>
      </c>
      <c r="E31" s="81">
        <v>5</v>
      </c>
      <c r="F31" s="81">
        <v>2</v>
      </c>
      <c r="G31" s="81">
        <v>3</v>
      </c>
      <c r="H31" s="81">
        <v>3</v>
      </c>
      <c r="I31" s="81">
        <v>21</v>
      </c>
    </row>
    <row r="32" spans="2:9" s="76" customFormat="1" ht="11.25">
      <c r="B32" s="81">
        <v>5</v>
      </c>
      <c r="C32" s="81">
        <v>1201</v>
      </c>
      <c r="D32" s="81">
        <v>5</v>
      </c>
      <c r="E32" s="81">
        <v>2</v>
      </c>
      <c r="F32" s="81">
        <v>6</v>
      </c>
      <c r="G32" s="81">
        <v>4</v>
      </c>
      <c r="H32" s="81">
        <v>7</v>
      </c>
      <c r="I32" s="81">
        <v>24</v>
      </c>
    </row>
    <row r="33" spans="2:9" s="76" customFormat="1" ht="11.25">
      <c r="B33" s="81">
        <v>6</v>
      </c>
      <c r="C33" s="81">
        <v>1248</v>
      </c>
      <c r="D33" s="81" t="s">
        <v>290</v>
      </c>
      <c r="E33" s="81" t="s">
        <v>290</v>
      </c>
      <c r="F33" s="81">
        <v>1</v>
      </c>
      <c r="G33" s="81">
        <v>6</v>
      </c>
      <c r="H33" s="81">
        <v>1</v>
      </c>
      <c r="I33" s="81">
        <v>24</v>
      </c>
    </row>
    <row r="34" spans="2:9" s="76" customFormat="1" ht="11.25">
      <c r="B34" s="83">
        <v>7</v>
      </c>
      <c r="C34" s="83">
        <v>188</v>
      </c>
      <c r="D34" s="83">
        <v>2</v>
      </c>
      <c r="E34" s="83">
        <v>6</v>
      </c>
      <c r="F34" s="83">
        <v>7</v>
      </c>
      <c r="G34" s="83">
        <v>7</v>
      </c>
      <c r="H34" s="83">
        <v>6</v>
      </c>
      <c r="I34" s="83">
        <v>28</v>
      </c>
    </row>
    <row r="35" spans="2:9" s="76" customFormat="1" ht="11.25">
      <c r="B35" s="128"/>
      <c r="C35" s="128"/>
      <c r="D35" s="128"/>
      <c r="E35" s="128"/>
      <c r="F35" s="128"/>
      <c r="G35" s="128"/>
      <c r="H35" s="128"/>
      <c r="I35" s="128"/>
    </row>
    <row r="36" spans="2:9" s="76" customFormat="1" ht="18">
      <c r="B36" s="128"/>
      <c r="C36" s="259" t="s">
        <v>513</v>
      </c>
      <c r="D36" s="128"/>
      <c r="E36" s="128"/>
      <c r="F36" s="128"/>
      <c r="G36" s="128"/>
      <c r="H36" s="128"/>
      <c r="I36" s="128"/>
    </row>
    <row r="37" spans="2:9" s="76" customFormat="1" ht="11.25">
      <c r="B37" s="84" t="s">
        <v>351</v>
      </c>
      <c r="C37" s="84" t="s">
        <v>451</v>
      </c>
      <c r="D37" s="84" t="s">
        <v>876</v>
      </c>
      <c r="E37" s="84" t="s">
        <v>877</v>
      </c>
      <c r="F37" s="84" t="s">
        <v>878</v>
      </c>
      <c r="G37" s="84" t="s">
        <v>879</v>
      </c>
      <c r="H37" s="84" t="s">
        <v>880</v>
      </c>
      <c r="I37" s="84" t="s">
        <v>294</v>
      </c>
    </row>
    <row r="38" spans="2:9" s="76" customFormat="1" ht="11.25">
      <c r="B38" s="81">
        <v>1</v>
      </c>
      <c r="C38" s="81">
        <v>1</v>
      </c>
      <c r="D38" s="81">
        <v>2</v>
      </c>
      <c r="E38" s="81">
        <v>2</v>
      </c>
      <c r="F38" s="81">
        <v>2</v>
      </c>
      <c r="G38" s="81">
        <v>2</v>
      </c>
      <c r="H38" s="81">
        <v>1</v>
      </c>
      <c r="I38" s="81">
        <v>9</v>
      </c>
    </row>
    <row r="39" spans="2:9" s="76" customFormat="1" ht="11.25">
      <c r="B39" s="81">
        <v>2</v>
      </c>
      <c r="C39" s="81">
        <v>10</v>
      </c>
      <c r="D39" s="81">
        <v>3</v>
      </c>
      <c r="E39" s="81">
        <v>1</v>
      </c>
      <c r="F39" s="81">
        <v>3</v>
      </c>
      <c r="G39" s="81">
        <v>3</v>
      </c>
      <c r="H39" s="81">
        <v>2</v>
      </c>
      <c r="I39" s="81">
        <v>12</v>
      </c>
    </row>
    <row r="40" spans="2:9" s="76" customFormat="1" ht="11.25">
      <c r="B40" s="81">
        <v>3</v>
      </c>
      <c r="C40" s="81">
        <v>8</v>
      </c>
      <c r="D40" s="81">
        <v>1</v>
      </c>
      <c r="E40" s="81">
        <v>3</v>
      </c>
      <c r="F40" s="81">
        <v>1</v>
      </c>
      <c r="G40" s="81" t="s">
        <v>290</v>
      </c>
      <c r="H40" s="81" t="s">
        <v>361</v>
      </c>
      <c r="I40" s="81">
        <v>19</v>
      </c>
    </row>
    <row r="41" spans="2:9" s="76" customFormat="1" ht="11.25">
      <c r="B41" s="81">
        <v>4</v>
      </c>
      <c r="C41" s="81">
        <v>4</v>
      </c>
      <c r="D41" s="81">
        <v>4</v>
      </c>
      <c r="E41" s="81">
        <v>5</v>
      </c>
      <c r="F41" s="81">
        <v>4</v>
      </c>
      <c r="G41" s="81">
        <v>1</v>
      </c>
      <c r="H41" s="81">
        <v>5</v>
      </c>
      <c r="I41" s="81">
        <v>19</v>
      </c>
    </row>
    <row r="42" spans="2:9" s="76" customFormat="1" ht="11.25">
      <c r="B42" s="81">
        <v>5</v>
      </c>
      <c r="C42" s="81">
        <v>3</v>
      </c>
      <c r="D42" s="81">
        <v>6</v>
      </c>
      <c r="E42" s="81">
        <v>4</v>
      </c>
      <c r="F42" s="81">
        <v>5</v>
      </c>
      <c r="G42" s="81">
        <v>4</v>
      </c>
      <c r="H42" s="81">
        <v>4</v>
      </c>
      <c r="I42" s="81">
        <v>23</v>
      </c>
    </row>
    <row r="43" spans="2:9" s="76" customFormat="1" ht="11.25">
      <c r="B43" s="83">
        <v>6</v>
      </c>
      <c r="C43" s="83">
        <v>7</v>
      </c>
      <c r="D43" s="83">
        <v>5</v>
      </c>
      <c r="E43" s="83" t="s">
        <v>299</v>
      </c>
      <c r="F43" s="83" t="s">
        <v>299</v>
      </c>
      <c r="G43" s="83" t="s">
        <v>290</v>
      </c>
      <c r="H43" s="83">
        <v>3</v>
      </c>
      <c r="I43" s="83">
        <v>29</v>
      </c>
    </row>
    <row r="44" spans="2:9" s="76" customFormat="1" ht="11.25">
      <c r="B44" s="128"/>
      <c r="C44" s="128"/>
      <c r="D44" s="128"/>
      <c r="E44" s="128"/>
      <c r="F44" s="128"/>
      <c r="G44" s="128"/>
      <c r="H44" s="128"/>
      <c r="I44" s="128"/>
    </row>
    <row r="45" ht="11.25">
      <c r="C45" s="24"/>
    </row>
    <row r="46" ht="11.25">
      <c r="C46" s="24"/>
    </row>
    <row r="47" ht="11.25">
      <c r="C47" s="24"/>
    </row>
    <row r="48" ht="11.25">
      <c r="C48" s="24"/>
    </row>
    <row r="49" ht="11.25">
      <c r="C49" s="24"/>
    </row>
    <row r="50" ht="11.25">
      <c r="C50" s="24"/>
    </row>
    <row r="51" ht="11.25">
      <c r="C51" s="24"/>
    </row>
    <row r="52" ht="11.25">
      <c r="C52" s="24"/>
    </row>
    <row r="53" ht="11.25">
      <c r="C53" s="24"/>
    </row>
    <row r="54" ht="11.25">
      <c r="C54" s="24"/>
    </row>
    <row r="55" ht="11.25">
      <c r="C55" s="24"/>
    </row>
    <row r="56" ht="11.25">
      <c r="C56" s="24"/>
    </row>
    <row r="57" ht="11.25">
      <c r="C57" s="24"/>
    </row>
    <row r="58" ht="11.25">
      <c r="C58" s="24"/>
    </row>
    <row r="59" ht="11.25">
      <c r="C59" s="24"/>
    </row>
    <row r="60" ht="11.25">
      <c r="C60" s="24"/>
    </row>
    <row r="61" ht="11.25">
      <c r="C61" s="24"/>
    </row>
    <row r="62" ht="11.25">
      <c r="C62" s="24"/>
    </row>
    <row r="63" ht="11.25">
      <c r="C63" s="24"/>
    </row>
    <row r="64" ht="11.25">
      <c r="C64" s="24"/>
    </row>
    <row r="65" ht="11.25">
      <c r="C65" s="24"/>
    </row>
    <row r="66" ht="11.25">
      <c r="C66" s="24"/>
    </row>
    <row r="67" ht="11.25">
      <c r="C67" s="24"/>
    </row>
    <row r="68" ht="11.25">
      <c r="C68" s="24"/>
    </row>
    <row r="69" ht="11.25">
      <c r="C69" s="24"/>
    </row>
    <row r="70" ht="11.25">
      <c r="C70" s="24"/>
    </row>
    <row r="71" ht="11.25">
      <c r="C71" s="24"/>
    </row>
    <row r="72" ht="11.25">
      <c r="C72" s="24"/>
    </row>
    <row r="73" ht="11.25">
      <c r="C73" s="24"/>
    </row>
    <row r="74" ht="11.25">
      <c r="C74" s="24"/>
    </row>
    <row r="75" ht="11.25">
      <c r="C75" s="24"/>
    </row>
    <row r="76" ht="11.25">
      <c r="C76" s="24"/>
    </row>
    <row r="77" ht="11.25">
      <c r="C77" s="24"/>
    </row>
    <row r="78" ht="11.25">
      <c r="C78" s="24"/>
    </row>
    <row r="79" ht="11.25">
      <c r="C79" s="24"/>
    </row>
    <row r="80" ht="11.25">
      <c r="C80" s="24"/>
    </row>
    <row r="81" ht="11.25">
      <c r="C81" s="24"/>
    </row>
    <row r="82" ht="11.25">
      <c r="C82" s="24"/>
    </row>
    <row r="83" ht="11.25">
      <c r="C83" s="24"/>
    </row>
    <row r="84" ht="11.25">
      <c r="C84" s="24"/>
    </row>
    <row r="85" ht="11.25">
      <c r="C85" s="24"/>
    </row>
    <row r="86" ht="11.25">
      <c r="C86" s="24"/>
    </row>
    <row r="87" ht="11.25">
      <c r="C87" s="24"/>
    </row>
    <row r="88" ht="11.25">
      <c r="C88" s="24"/>
    </row>
    <row r="89" ht="11.25">
      <c r="C89" s="24"/>
    </row>
    <row r="90" ht="11.25">
      <c r="C90" s="24"/>
    </row>
    <row r="91" ht="11.25">
      <c r="C91" s="24"/>
    </row>
    <row r="92" ht="11.25">
      <c r="C92" s="24"/>
    </row>
    <row r="93" ht="11.25">
      <c r="C93" s="24"/>
    </row>
    <row r="94" ht="11.25">
      <c r="C94" s="24"/>
    </row>
    <row r="95" ht="11.25">
      <c r="C95" s="24"/>
    </row>
    <row r="96" ht="11.25">
      <c r="C96" s="24"/>
    </row>
    <row r="97" ht="11.25">
      <c r="C97" s="24"/>
    </row>
    <row r="98" ht="11.25">
      <c r="C98" s="24"/>
    </row>
    <row r="99" ht="11.25">
      <c r="C99" s="24"/>
    </row>
    <row r="100" ht="11.25">
      <c r="C100" s="24"/>
    </row>
    <row r="101" ht="11.25">
      <c r="C101" s="24"/>
    </row>
    <row r="102" ht="11.25">
      <c r="C102" s="24"/>
    </row>
    <row r="103" ht="11.25">
      <c r="C103" s="24"/>
    </row>
    <row r="104" ht="11.25">
      <c r="C104" s="24"/>
    </row>
    <row r="105" ht="11.25">
      <c r="C105" s="24"/>
    </row>
    <row r="106" ht="11.25">
      <c r="C106" s="24"/>
    </row>
    <row r="107" ht="11.25">
      <c r="C107" s="24"/>
    </row>
    <row r="108" ht="11.25">
      <c r="C108" s="24"/>
    </row>
    <row r="109" ht="11.25">
      <c r="C109" s="24"/>
    </row>
    <row r="110" ht="11.25">
      <c r="C110" s="24"/>
    </row>
    <row r="111" ht="11.25">
      <c r="C111" s="24"/>
    </row>
    <row r="112" ht="11.25">
      <c r="C112" s="24"/>
    </row>
    <row r="113" ht="11.25">
      <c r="C113" s="24"/>
    </row>
    <row r="114" ht="11.25">
      <c r="C114" s="24"/>
    </row>
    <row r="115" ht="11.25">
      <c r="C115" s="24"/>
    </row>
    <row r="116" ht="11.25">
      <c r="C116" s="24"/>
    </row>
    <row r="117" ht="11.25">
      <c r="C117" s="24"/>
    </row>
    <row r="118" ht="11.25">
      <c r="C118" s="24"/>
    </row>
    <row r="119" ht="11.25">
      <c r="C119" s="24"/>
    </row>
    <row r="120" ht="11.25">
      <c r="C120" s="24"/>
    </row>
    <row r="121" ht="11.25">
      <c r="C121" s="24"/>
    </row>
    <row r="122" ht="11.25">
      <c r="C122" s="24"/>
    </row>
    <row r="123" ht="11.25">
      <c r="C123" s="24"/>
    </row>
    <row r="124" ht="11.25">
      <c r="C124" s="24"/>
    </row>
  </sheetData>
  <sheetProtection/>
  <mergeCells count="1">
    <mergeCell ref="C18:D18"/>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Sheet41"/>
  <dimension ref="B2:O25"/>
  <sheetViews>
    <sheetView zoomScalePageLayoutView="0" workbookViewId="0" topLeftCell="A1">
      <selection activeCell="A1" sqref="A1:IV16384"/>
    </sheetView>
  </sheetViews>
  <sheetFormatPr defaultColWidth="9.140625" defaultRowHeight="12.75"/>
  <cols>
    <col min="1" max="1" width="2.57421875" style="267" customWidth="1"/>
    <col min="2" max="2" width="5.28125" style="143" customWidth="1"/>
    <col min="3" max="3" width="5.57421875" style="143" customWidth="1"/>
    <col min="4" max="4" width="38.28125" style="267" bestFit="1" customWidth="1"/>
    <col min="5" max="5" width="4.57421875" style="143" bestFit="1" customWidth="1"/>
    <col min="6" max="11" width="7.00390625" style="143" bestFit="1" customWidth="1"/>
    <col min="12" max="12" width="4.28125" style="267" bestFit="1" customWidth="1"/>
    <col min="13" max="13" width="4.00390625" style="143" bestFit="1" customWidth="1"/>
    <col min="14" max="16384" width="9.140625" style="267" customWidth="1"/>
  </cols>
  <sheetData>
    <row r="2" spans="2:13" s="266" customFormat="1" ht="15.75">
      <c r="B2" s="21" t="s">
        <v>890</v>
      </c>
      <c r="C2" s="140"/>
      <c r="E2" s="140"/>
      <c r="F2" s="140"/>
      <c r="G2" s="140"/>
      <c r="H2" s="140"/>
      <c r="I2" s="140"/>
      <c r="J2" s="140"/>
      <c r="K2" s="140"/>
      <c r="M2" s="140"/>
    </row>
    <row r="3" spans="2:13" s="266" customFormat="1" ht="15.75">
      <c r="B3" s="142" t="s">
        <v>891</v>
      </c>
      <c r="C3" s="140"/>
      <c r="E3" s="140"/>
      <c r="F3" s="140"/>
      <c r="G3" s="140"/>
      <c r="H3" s="140"/>
      <c r="I3" s="140"/>
      <c r="J3" s="140"/>
      <c r="K3" s="140"/>
      <c r="M3" s="140"/>
    </row>
    <row r="4" ht="12.75" customHeight="1">
      <c r="B4" s="145" t="s">
        <v>350</v>
      </c>
    </row>
    <row r="5" spans="2:13" s="268" customFormat="1" ht="12.75" customHeight="1">
      <c r="B5" s="79"/>
      <c r="C5" s="128"/>
      <c r="E5" s="128"/>
      <c r="F5" s="128"/>
      <c r="G5" s="128"/>
      <c r="H5" s="128"/>
      <c r="I5" s="128"/>
      <c r="J5" s="128"/>
      <c r="K5" s="128"/>
      <c r="M5" s="128"/>
    </row>
    <row r="6" spans="2:13" s="268" customFormat="1" ht="12.75" customHeight="1">
      <c r="B6" s="128"/>
      <c r="C6" s="128"/>
      <c r="E6" s="128"/>
      <c r="F6" s="223">
        <v>38184</v>
      </c>
      <c r="G6" s="223">
        <f>F6+1</f>
        <v>38185</v>
      </c>
      <c r="H6" s="394">
        <f>F6+7</f>
        <v>38191</v>
      </c>
      <c r="I6" s="396"/>
      <c r="J6" s="394">
        <f>G6+7</f>
        <v>38192</v>
      </c>
      <c r="K6" s="396"/>
      <c r="M6" s="128"/>
    </row>
    <row r="7" spans="2:14" s="268" customFormat="1" ht="11.25">
      <c r="B7" s="84" t="s">
        <v>351</v>
      </c>
      <c r="C7" s="84" t="s">
        <v>390</v>
      </c>
      <c r="D7" s="84" t="s">
        <v>353</v>
      </c>
      <c r="E7" s="84"/>
      <c r="F7" s="84" t="s">
        <v>291</v>
      </c>
      <c r="G7" s="84" t="s">
        <v>292</v>
      </c>
      <c r="H7" s="84" t="s">
        <v>293</v>
      </c>
      <c r="I7" s="84" t="s">
        <v>302</v>
      </c>
      <c r="J7" s="84" t="s">
        <v>355</v>
      </c>
      <c r="K7" s="84" t="s">
        <v>391</v>
      </c>
      <c r="L7" s="269" t="s">
        <v>294</v>
      </c>
      <c r="M7" s="84" t="s">
        <v>434</v>
      </c>
      <c r="N7" s="270" t="s">
        <v>892</v>
      </c>
    </row>
    <row r="8" spans="2:15" s="268" customFormat="1" ht="11.25">
      <c r="B8" s="80">
        <v>1</v>
      </c>
      <c r="C8" s="80">
        <v>25</v>
      </c>
      <c r="D8" s="271" t="s">
        <v>357</v>
      </c>
      <c r="E8" s="230" t="s">
        <v>313</v>
      </c>
      <c r="F8" s="81">
        <v>2</v>
      </c>
      <c r="G8" s="81">
        <v>4</v>
      </c>
      <c r="H8" s="81">
        <v>3</v>
      </c>
      <c r="I8" s="81">
        <v>1</v>
      </c>
      <c r="J8" s="81">
        <v>3</v>
      </c>
      <c r="K8" s="81">
        <v>1</v>
      </c>
      <c r="L8" s="81">
        <f aca="true" t="shared" si="0" ref="L8:L22">SUM(F8:K8)+(COUNTA(F8:K8)-COUNT(F8:K8))*(MAX($B$8:$B$302)+1)</f>
        <v>14</v>
      </c>
      <c r="M8" s="81">
        <f aca="true" t="shared" si="1" ref="M8:M22">(IF(COUNT(F8:K8)=COUNTA(F8:K8),L8-MAX(F8:K8),L8-MAX($B$8:$B$26)-1))</f>
        <v>10</v>
      </c>
      <c r="N8" s="270">
        <f aca="true" t="shared" si="2" ref="N8:N22">M8+MIN(F8:K8)/100</f>
        <v>10.01</v>
      </c>
      <c r="O8" s="268">
        <v>1</v>
      </c>
    </row>
    <row r="9" spans="2:15" s="268" customFormat="1" ht="11.25">
      <c r="B9" s="80">
        <v>2</v>
      </c>
      <c r="C9" s="80">
        <v>231</v>
      </c>
      <c r="D9" s="271" t="s">
        <v>419</v>
      </c>
      <c r="E9" s="230" t="s">
        <v>313</v>
      </c>
      <c r="F9" s="81">
        <v>1</v>
      </c>
      <c r="G9" s="81">
        <v>3</v>
      </c>
      <c r="H9" s="81">
        <v>2</v>
      </c>
      <c r="I9" s="81">
        <v>2</v>
      </c>
      <c r="J9" s="81">
        <v>5</v>
      </c>
      <c r="K9" s="81">
        <v>2</v>
      </c>
      <c r="L9" s="81">
        <f t="shared" si="0"/>
        <v>15</v>
      </c>
      <c r="M9" s="81">
        <f t="shared" si="1"/>
        <v>10</v>
      </c>
      <c r="N9" s="270">
        <f>M9+MIN(F9:K9)/100+0.1</f>
        <v>10.11</v>
      </c>
      <c r="O9" s="268">
        <v>2</v>
      </c>
    </row>
    <row r="10" spans="2:15" s="268" customFormat="1" ht="11.25">
      <c r="B10" s="80">
        <v>3</v>
      </c>
      <c r="C10" s="80">
        <v>23</v>
      </c>
      <c r="D10" s="271" t="s">
        <v>684</v>
      </c>
      <c r="E10" s="230" t="s">
        <v>313</v>
      </c>
      <c r="F10" s="81">
        <v>7</v>
      </c>
      <c r="G10" s="81">
        <v>1</v>
      </c>
      <c r="H10" s="81">
        <v>6</v>
      </c>
      <c r="I10" s="81">
        <v>3</v>
      </c>
      <c r="J10" s="81">
        <v>1</v>
      </c>
      <c r="K10" s="81">
        <v>6</v>
      </c>
      <c r="L10" s="81">
        <f t="shared" si="0"/>
        <v>24</v>
      </c>
      <c r="M10" s="81">
        <f t="shared" si="1"/>
        <v>17</v>
      </c>
      <c r="N10" s="270">
        <f t="shared" si="2"/>
        <v>17.01</v>
      </c>
      <c r="O10" s="268">
        <v>3</v>
      </c>
    </row>
    <row r="11" spans="2:15" s="268" customFormat="1" ht="11.25">
      <c r="B11" s="80">
        <v>4</v>
      </c>
      <c r="C11" s="80">
        <v>182</v>
      </c>
      <c r="D11" s="271" t="s">
        <v>359</v>
      </c>
      <c r="E11" s="230" t="s">
        <v>313</v>
      </c>
      <c r="F11" s="81">
        <v>4</v>
      </c>
      <c r="G11" s="81">
        <v>5</v>
      </c>
      <c r="H11" s="81">
        <v>4</v>
      </c>
      <c r="I11" s="81">
        <v>6</v>
      </c>
      <c r="J11" s="81">
        <v>2</v>
      </c>
      <c r="K11" s="81">
        <v>4</v>
      </c>
      <c r="L11" s="81">
        <f t="shared" si="0"/>
        <v>25</v>
      </c>
      <c r="M11" s="81">
        <f t="shared" si="1"/>
        <v>19</v>
      </c>
      <c r="N11" s="270">
        <f t="shared" si="2"/>
        <v>19.02</v>
      </c>
      <c r="O11" s="268">
        <v>4</v>
      </c>
    </row>
    <row r="12" spans="2:15" s="268" customFormat="1" ht="11.25">
      <c r="B12" s="80">
        <v>5</v>
      </c>
      <c r="C12" s="80">
        <v>221</v>
      </c>
      <c r="D12" s="271" t="s">
        <v>407</v>
      </c>
      <c r="E12" s="230" t="s">
        <v>313</v>
      </c>
      <c r="F12" s="81">
        <v>6</v>
      </c>
      <c r="G12" s="81">
        <v>6</v>
      </c>
      <c r="H12" s="81">
        <v>8</v>
      </c>
      <c r="I12" s="81">
        <v>4</v>
      </c>
      <c r="J12" s="81">
        <v>6</v>
      </c>
      <c r="K12" s="81">
        <v>11</v>
      </c>
      <c r="L12" s="81">
        <f t="shared" si="0"/>
        <v>41</v>
      </c>
      <c r="M12" s="81">
        <f t="shared" si="1"/>
        <v>30</v>
      </c>
      <c r="N12" s="270">
        <f t="shared" si="2"/>
        <v>30.04</v>
      </c>
      <c r="O12" s="268">
        <v>5</v>
      </c>
    </row>
    <row r="13" spans="2:15" s="268" customFormat="1" ht="11.25">
      <c r="B13" s="80">
        <v>6</v>
      </c>
      <c r="C13" s="80">
        <v>142</v>
      </c>
      <c r="D13" s="271" t="s">
        <v>839</v>
      </c>
      <c r="E13" s="230" t="s">
        <v>313</v>
      </c>
      <c r="F13" s="81">
        <v>8</v>
      </c>
      <c r="G13" s="81">
        <v>9</v>
      </c>
      <c r="H13" s="81">
        <v>7</v>
      </c>
      <c r="I13" s="81">
        <v>5</v>
      </c>
      <c r="J13" s="81">
        <v>9</v>
      </c>
      <c r="K13" s="81">
        <v>5</v>
      </c>
      <c r="L13" s="81">
        <f t="shared" si="0"/>
        <v>43</v>
      </c>
      <c r="M13" s="81">
        <f t="shared" si="1"/>
        <v>34</v>
      </c>
      <c r="N13" s="270">
        <f t="shared" si="2"/>
        <v>34.05</v>
      </c>
      <c r="O13" s="268">
        <v>6</v>
      </c>
    </row>
    <row r="14" spans="2:15" s="268" customFormat="1" ht="11.25">
      <c r="B14" s="80">
        <v>7</v>
      </c>
      <c r="C14" s="80">
        <v>26</v>
      </c>
      <c r="D14" s="271" t="s">
        <v>779</v>
      </c>
      <c r="E14" s="230" t="s">
        <v>313</v>
      </c>
      <c r="F14" s="81">
        <v>9</v>
      </c>
      <c r="G14" s="81">
        <v>10</v>
      </c>
      <c r="H14" s="81">
        <v>1</v>
      </c>
      <c r="I14" s="81">
        <v>7</v>
      </c>
      <c r="J14" s="81">
        <v>8</v>
      </c>
      <c r="K14" s="81">
        <v>10</v>
      </c>
      <c r="L14" s="81">
        <f t="shared" si="0"/>
        <v>45</v>
      </c>
      <c r="M14" s="81">
        <f t="shared" si="1"/>
        <v>35</v>
      </c>
      <c r="N14" s="270">
        <f t="shared" si="2"/>
        <v>35.01</v>
      </c>
      <c r="O14" s="268">
        <v>7</v>
      </c>
    </row>
    <row r="15" spans="2:15" s="268" customFormat="1" ht="11.25">
      <c r="B15" s="80">
        <v>8</v>
      </c>
      <c r="C15" s="80">
        <v>41</v>
      </c>
      <c r="D15" s="271" t="s">
        <v>417</v>
      </c>
      <c r="E15" s="230" t="s">
        <v>313</v>
      </c>
      <c r="F15" s="81">
        <v>5</v>
      </c>
      <c r="G15" s="81">
        <v>11</v>
      </c>
      <c r="H15" s="81">
        <v>5</v>
      </c>
      <c r="I15" s="81">
        <v>9</v>
      </c>
      <c r="J15" s="81">
        <v>10</v>
      </c>
      <c r="K15" s="81">
        <v>8</v>
      </c>
      <c r="L15" s="81">
        <f t="shared" si="0"/>
        <v>48</v>
      </c>
      <c r="M15" s="81">
        <f t="shared" si="1"/>
        <v>37</v>
      </c>
      <c r="N15" s="270">
        <f t="shared" si="2"/>
        <v>37.05</v>
      </c>
      <c r="O15" s="268">
        <v>8</v>
      </c>
    </row>
    <row r="16" spans="2:15" s="268" customFormat="1" ht="11.25">
      <c r="B16" s="80">
        <v>9</v>
      </c>
      <c r="C16" s="80">
        <v>54</v>
      </c>
      <c r="D16" s="271" t="s">
        <v>414</v>
      </c>
      <c r="E16" s="230" t="s">
        <v>313</v>
      </c>
      <c r="F16" s="81">
        <v>11</v>
      </c>
      <c r="G16" s="81">
        <v>2</v>
      </c>
      <c r="H16" s="81" t="s">
        <v>361</v>
      </c>
      <c r="I16" s="81" t="s">
        <v>361</v>
      </c>
      <c r="J16" s="81">
        <v>7</v>
      </c>
      <c r="K16" s="81">
        <v>3</v>
      </c>
      <c r="L16" s="81">
        <f t="shared" si="0"/>
        <v>55</v>
      </c>
      <c r="M16" s="81">
        <f t="shared" si="1"/>
        <v>39</v>
      </c>
      <c r="N16" s="270">
        <f t="shared" si="2"/>
        <v>39.02</v>
      </c>
      <c r="O16" s="268">
        <v>9</v>
      </c>
    </row>
    <row r="17" spans="2:15" s="268" customFormat="1" ht="11.25">
      <c r="B17" s="80">
        <v>10</v>
      </c>
      <c r="C17" s="80">
        <v>70</v>
      </c>
      <c r="D17" s="271" t="s">
        <v>837</v>
      </c>
      <c r="E17" s="230" t="s">
        <v>313</v>
      </c>
      <c r="F17" s="81">
        <v>3</v>
      </c>
      <c r="G17" s="81">
        <v>7</v>
      </c>
      <c r="H17" s="81">
        <v>11</v>
      </c>
      <c r="I17" s="81">
        <v>11</v>
      </c>
      <c r="J17" s="81">
        <v>11</v>
      </c>
      <c r="K17" s="81">
        <v>7</v>
      </c>
      <c r="L17" s="81">
        <f t="shared" si="0"/>
        <v>50</v>
      </c>
      <c r="M17" s="81">
        <f t="shared" si="1"/>
        <v>39</v>
      </c>
      <c r="N17" s="270">
        <f t="shared" si="2"/>
        <v>39.03</v>
      </c>
      <c r="O17" s="268">
        <v>10</v>
      </c>
    </row>
    <row r="18" spans="2:15" s="268" customFormat="1" ht="11.25">
      <c r="B18" s="80">
        <v>11</v>
      </c>
      <c r="C18" s="80">
        <v>176</v>
      </c>
      <c r="D18" s="271" t="s">
        <v>406</v>
      </c>
      <c r="E18" s="230" t="s">
        <v>313</v>
      </c>
      <c r="F18" s="81">
        <v>10</v>
      </c>
      <c r="G18" s="81">
        <v>8</v>
      </c>
      <c r="H18" s="81">
        <v>10</v>
      </c>
      <c r="I18" s="81">
        <v>8</v>
      </c>
      <c r="J18" s="81">
        <v>4</v>
      </c>
      <c r="K18" s="81">
        <v>12</v>
      </c>
      <c r="L18" s="81">
        <f t="shared" si="0"/>
        <v>52</v>
      </c>
      <c r="M18" s="81">
        <f t="shared" si="1"/>
        <v>40</v>
      </c>
      <c r="N18" s="270">
        <f t="shared" si="2"/>
        <v>40.04</v>
      </c>
      <c r="O18" s="268">
        <v>11</v>
      </c>
    </row>
    <row r="19" spans="2:15" s="268" customFormat="1" ht="11.25">
      <c r="B19" s="80">
        <v>12</v>
      </c>
      <c r="C19" s="80">
        <v>106</v>
      </c>
      <c r="D19" s="271" t="s">
        <v>849</v>
      </c>
      <c r="E19" s="230" t="s">
        <v>313</v>
      </c>
      <c r="F19" s="81" t="s">
        <v>361</v>
      </c>
      <c r="G19" s="81">
        <v>13</v>
      </c>
      <c r="H19" s="81">
        <v>12</v>
      </c>
      <c r="I19" s="81">
        <v>10</v>
      </c>
      <c r="J19" s="81">
        <v>13</v>
      </c>
      <c r="K19" s="81">
        <v>9</v>
      </c>
      <c r="L19" s="81">
        <f t="shared" si="0"/>
        <v>73</v>
      </c>
      <c r="M19" s="81">
        <f t="shared" si="1"/>
        <v>57</v>
      </c>
      <c r="N19" s="270">
        <f t="shared" si="2"/>
        <v>57.09</v>
      </c>
      <c r="O19" s="268">
        <v>12</v>
      </c>
    </row>
    <row r="20" spans="2:15" s="268" customFormat="1" ht="11.25">
      <c r="B20" s="80">
        <v>13</v>
      </c>
      <c r="C20" s="80">
        <v>117</v>
      </c>
      <c r="D20" s="271" t="s">
        <v>781</v>
      </c>
      <c r="E20" s="230" t="s">
        <v>313</v>
      </c>
      <c r="F20" s="81">
        <v>12</v>
      </c>
      <c r="G20" s="81">
        <v>12</v>
      </c>
      <c r="H20" s="81">
        <v>9</v>
      </c>
      <c r="I20" s="81">
        <v>12</v>
      </c>
      <c r="J20" s="81">
        <v>12</v>
      </c>
      <c r="K20" s="81">
        <v>14</v>
      </c>
      <c r="L20" s="81">
        <f t="shared" si="0"/>
        <v>71</v>
      </c>
      <c r="M20" s="81">
        <f t="shared" si="1"/>
        <v>57</v>
      </c>
      <c r="N20" s="270">
        <f>M20+MIN(F20:K20)/100+0.1</f>
        <v>57.190000000000005</v>
      </c>
      <c r="O20" s="268">
        <v>13</v>
      </c>
    </row>
    <row r="21" spans="2:15" s="268" customFormat="1" ht="11.25">
      <c r="B21" s="80">
        <v>14</v>
      </c>
      <c r="C21" s="80">
        <v>5</v>
      </c>
      <c r="D21" s="271" t="s">
        <v>831</v>
      </c>
      <c r="E21" s="230" t="s">
        <v>313</v>
      </c>
      <c r="F21" s="81">
        <v>13</v>
      </c>
      <c r="G21" s="81" t="s">
        <v>361</v>
      </c>
      <c r="H21" s="81" t="s">
        <v>361</v>
      </c>
      <c r="I21" s="81" t="s">
        <v>361</v>
      </c>
      <c r="J21" s="81">
        <v>14</v>
      </c>
      <c r="K21" s="81">
        <v>13</v>
      </c>
      <c r="L21" s="81">
        <f t="shared" si="0"/>
        <v>88</v>
      </c>
      <c r="M21" s="81">
        <f t="shared" si="1"/>
        <v>72</v>
      </c>
      <c r="N21" s="270">
        <f t="shared" si="2"/>
        <v>72.13</v>
      </c>
      <c r="O21" s="268">
        <v>14</v>
      </c>
    </row>
    <row r="22" spans="2:15" s="268" customFormat="1" ht="11.25">
      <c r="B22" s="82">
        <v>15</v>
      </c>
      <c r="C22" s="82">
        <v>38</v>
      </c>
      <c r="D22" s="272" t="s">
        <v>782</v>
      </c>
      <c r="E22" s="265" t="s">
        <v>313</v>
      </c>
      <c r="F22" s="83">
        <v>14</v>
      </c>
      <c r="G22" s="83" t="s">
        <v>361</v>
      </c>
      <c r="H22" s="83" t="s">
        <v>361</v>
      </c>
      <c r="I22" s="83" t="s">
        <v>361</v>
      </c>
      <c r="J22" s="83" t="s">
        <v>361</v>
      </c>
      <c r="K22" s="83" t="s">
        <v>361</v>
      </c>
      <c r="L22" s="83">
        <f t="shared" si="0"/>
        <v>94</v>
      </c>
      <c r="M22" s="83">
        <f t="shared" si="1"/>
        <v>78</v>
      </c>
      <c r="N22" s="270">
        <f t="shared" si="2"/>
        <v>78.14</v>
      </c>
      <c r="O22" s="268">
        <v>15</v>
      </c>
    </row>
    <row r="23" spans="2:13" s="268" customFormat="1" ht="11.25">
      <c r="B23" s="230"/>
      <c r="C23" s="230"/>
      <c r="D23" s="273"/>
      <c r="E23" s="230"/>
      <c r="F23" s="230"/>
      <c r="G23" s="230"/>
      <c r="H23" s="230"/>
      <c r="I23" s="230"/>
      <c r="J23" s="230"/>
      <c r="K23" s="230"/>
      <c r="M23" s="128"/>
    </row>
    <row r="24" ht="12.75">
      <c r="B24" s="145" t="s">
        <v>424</v>
      </c>
    </row>
    <row r="25" ht="12.75">
      <c r="B25" s="45" t="s">
        <v>894</v>
      </c>
    </row>
  </sheetData>
  <sheetProtection/>
  <mergeCells count="2">
    <mergeCell ref="H6:I6"/>
    <mergeCell ref="J6:K6"/>
  </mergeCells>
  <hyperlinks>
    <hyperlink ref="B25" r:id="rId1" display="http://www.larchmontyc.org/racing/documents/RWOne06Results_005.pdf"/>
  </hyperlinks>
  <printOptions/>
  <pageMargins left="0.75" right="0.75" top="1" bottom="1" header="0.5" footer="0.5"/>
  <pageSetup horizontalDpi="600" verticalDpi="600" orientation="portrait" r:id="rId2"/>
</worksheet>
</file>

<file path=xl/worksheets/sheet22.xml><?xml version="1.0" encoding="utf-8"?>
<worksheet xmlns="http://schemas.openxmlformats.org/spreadsheetml/2006/main" xmlns:r="http://schemas.openxmlformats.org/officeDocument/2006/relationships">
  <sheetPr codeName="Sheet42"/>
  <dimension ref="B1:P46"/>
  <sheetViews>
    <sheetView zoomScalePageLayoutView="0" workbookViewId="0" topLeftCell="A1">
      <selection activeCell="D32" sqref="D32"/>
    </sheetView>
  </sheetViews>
  <sheetFormatPr defaultColWidth="9.140625" defaultRowHeight="12.75"/>
  <cols>
    <col min="1" max="1" width="4.00390625" style="3" customWidth="1"/>
    <col min="2" max="2" width="3.57421875" style="3" customWidth="1"/>
    <col min="3" max="3" width="5.28125" style="3" bestFit="1" customWidth="1"/>
    <col min="4" max="4" width="10.421875" style="3" bestFit="1" customWidth="1"/>
    <col min="5" max="5" width="16.28125" style="3" customWidth="1"/>
    <col min="6" max="6" width="13.00390625" style="3" customWidth="1"/>
    <col min="7" max="7" width="9.8515625" style="3" customWidth="1"/>
    <col min="8" max="8" width="5.28125" style="3" bestFit="1" customWidth="1"/>
    <col min="9" max="10" width="7.7109375" style="3" bestFit="1" customWidth="1"/>
    <col min="11" max="13" width="8.421875" style="3" bestFit="1" customWidth="1"/>
    <col min="14" max="14" width="5.28125" style="3" bestFit="1" customWidth="1"/>
    <col min="15" max="15" width="6.57421875" style="3" bestFit="1" customWidth="1"/>
    <col min="16" max="16" width="3.57421875" style="3" bestFit="1" customWidth="1"/>
    <col min="17" max="16384" width="9.140625" style="3" customWidth="1"/>
  </cols>
  <sheetData>
    <row r="1" spans="2:16" ht="18">
      <c r="B1" s="159" t="s">
        <v>900</v>
      </c>
      <c r="C1" s="27"/>
      <c r="D1" s="27"/>
      <c r="E1" s="27"/>
      <c r="F1" s="27"/>
      <c r="G1" s="27"/>
      <c r="H1" s="27"/>
      <c r="I1" s="27"/>
      <c r="J1" s="27"/>
      <c r="K1" s="27"/>
      <c r="L1" s="27"/>
      <c r="M1" s="27"/>
      <c r="N1" s="27"/>
      <c r="O1" s="27"/>
      <c r="P1" s="27"/>
    </row>
    <row r="2" spans="2:16" ht="12.75">
      <c r="B2" s="27" t="s">
        <v>1077</v>
      </c>
      <c r="C2" s="27"/>
      <c r="D2" s="27"/>
      <c r="E2" s="27"/>
      <c r="F2" s="27"/>
      <c r="G2" s="27"/>
      <c r="H2" s="27"/>
      <c r="I2" s="27"/>
      <c r="J2" s="27"/>
      <c r="K2" s="27"/>
      <c r="L2" s="27"/>
      <c r="M2" s="27"/>
      <c r="N2" s="27"/>
      <c r="O2" s="27"/>
      <c r="P2" s="27"/>
    </row>
    <row r="3" spans="2:16" ht="12.75">
      <c r="B3" s="7" t="s">
        <v>901</v>
      </c>
      <c r="C3" s="27"/>
      <c r="D3" s="27"/>
      <c r="E3" s="27"/>
      <c r="F3" s="27"/>
      <c r="G3" s="27"/>
      <c r="H3" s="27"/>
      <c r="I3" s="27"/>
      <c r="J3" s="27"/>
      <c r="K3" s="27"/>
      <c r="L3" s="27"/>
      <c r="M3" s="27"/>
      <c r="N3" s="27"/>
      <c r="O3" s="27"/>
      <c r="P3" s="27"/>
    </row>
    <row r="4" spans="2:16" ht="12.75">
      <c r="B4" s="27"/>
      <c r="C4" s="27"/>
      <c r="D4" s="27"/>
      <c r="E4" s="27"/>
      <c r="F4" s="27"/>
      <c r="G4" s="27"/>
      <c r="H4" s="27"/>
      <c r="I4" s="27"/>
      <c r="J4" s="27"/>
      <c r="K4" s="27"/>
      <c r="L4" s="27"/>
      <c r="M4" s="27"/>
      <c r="N4" s="27"/>
      <c r="O4" s="27"/>
      <c r="P4" s="27"/>
    </row>
    <row r="5" spans="2:16" ht="12.75">
      <c r="B5" s="27" t="s">
        <v>902</v>
      </c>
      <c r="C5" s="27"/>
      <c r="D5" s="27"/>
      <c r="E5" s="27"/>
      <c r="F5" s="27"/>
      <c r="G5" s="27"/>
      <c r="H5" s="27"/>
      <c r="I5" s="27"/>
      <c r="J5" s="27"/>
      <c r="K5" s="27"/>
      <c r="L5" s="27"/>
      <c r="M5" s="27"/>
      <c r="N5" s="27"/>
      <c r="O5" s="27"/>
      <c r="P5" s="27"/>
    </row>
    <row r="6" spans="2:16" ht="12.75">
      <c r="B6" s="27"/>
      <c r="C6" s="27"/>
      <c r="D6" s="27"/>
      <c r="E6" s="27"/>
      <c r="F6" s="27"/>
      <c r="G6" s="27"/>
      <c r="H6" s="27"/>
      <c r="I6" s="27"/>
      <c r="J6" s="27"/>
      <c r="K6" s="27"/>
      <c r="L6" s="27"/>
      <c r="M6" s="27"/>
      <c r="N6" s="27"/>
      <c r="O6" s="27"/>
      <c r="P6" s="27"/>
    </row>
    <row r="7" spans="2:16" ht="12.75">
      <c r="B7" s="276" t="s">
        <v>903</v>
      </c>
      <c r="C7" s="276" t="s">
        <v>904</v>
      </c>
      <c r="D7" s="276" t="s">
        <v>905</v>
      </c>
      <c r="E7" s="276" t="s">
        <v>906</v>
      </c>
      <c r="F7" s="276" t="s">
        <v>907</v>
      </c>
      <c r="G7" s="276" t="s">
        <v>908</v>
      </c>
      <c r="H7" s="276" t="s">
        <v>909</v>
      </c>
      <c r="I7" s="276" t="s">
        <v>910</v>
      </c>
      <c r="J7" s="276" t="s">
        <v>911</v>
      </c>
      <c r="K7" s="276" t="s">
        <v>912</v>
      </c>
      <c r="L7" s="276" t="s">
        <v>913</v>
      </c>
      <c r="M7" s="276" t="s">
        <v>914</v>
      </c>
      <c r="N7" s="276" t="s">
        <v>915</v>
      </c>
      <c r="O7" s="276" t="s">
        <v>294</v>
      </c>
      <c r="P7" s="276" t="s">
        <v>903</v>
      </c>
    </row>
    <row r="8" spans="2:16" ht="12.75">
      <c r="B8" s="40" t="s">
        <v>916</v>
      </c>
      <c r="C8" s="40" t="s">
        <v>917</v>
      </c>
      <c r="D8" s="73" t="s">
        <v>918</v>
      </c>
      <c r="E8" s="73" t="s">
        <v>919</v>
      </c>
      <c r="F8" s="73" t="s">
        <v>920</v>
      </c>
      <c r="G8" s="73" t="s">
        <v>921</v>
      </c>
      <c r="H8" s="40" t="s">
        <v>922</v>
      </c>
      <c r="I8" s="40" t="s">
        <v>922</v>
      </c>
      <c r="J8" s="40" t="s">
        <v>916</v>
      </c>
      <c r="K8" s="40" t="s">
        <v>922</v>
      </c>
      <c r="L8" s="40" t="s">
        <v>923</v>
      </c>
      <c r="M8" s="40" t="s">
        <v>916</v>
      </c>
      <c r="N8" s="40" t="s">
        <v>922</v>
      </c>
      <c r="O8" s="274" t="s">
        <v>924</v>
      </c>
      <c r="P8" s="40">
        <v>1</v>
      </c>
    </row>
    <row r="9" spans="2:16" ht="12.75">
      <c r="B9" s="40" t="s">
        <v>922</v>
      </c>
      <c r="C9" s="40" t="s">
        <v>925</v>
      </c>
      <c r="D9" s="73" t="s">
        <v>926</v>
      </c>
      <c r="E9" s="73" t="s">
        <v>927</v>
      </c>
      <c r="F9" s="73" t="s">
        <v>928</v>
      </c>
      <c r="G9" s="73" t="s">
        <v>929</v>
      </c>
      <c r="H9" s="40" t="s">
        <v>930</v>
      </c>
      <c r="I9" s="40" t="s">
        <v>931</v>
      </c>
      <c r="J9" s="40" t="s">
        <v>932</v>
      </c>
      <c r="K9" s="40" t="s">
        <v>916</v>
      </c>
      <c r="L9" s="40" t="s">
        <v>916</v>
      </c>
      <c r="M9" s="40" t="s">
        <v>931</v>
      </c>
      <c r="N9" s="40" t="s">
        <v>931</v>
      </c>
      <c r="O9" s="274" t="s">
        <v>933</v>
      </c>
      <c r="P9" s="40">
        <v>2</v>
      </c>
    </row>
    <row r="10" spans="2:16" ht="12.75">
      <c r="B10" s="40" t="s">
        <v>931</v>
      </c>
      <c r="C10" s="40" t="s">
        <v>934</v>
      </c>
      <c r="D10" s="73" t="s">
        <v>935</v>
      </c>
      <c r="E10" s="73" t="s">
        <v>936</v>
      </c>
      <c r="F10" s="73" t="s">
        <v>937</v>
      </c>
      <c r="G10" s="73" t="s">
        <v>938</v>
      </c>
      <c r="H10" s="40" t="s">
        <v>916</v>
      </c>
      <c r="I10" s="40" t="s">
        <v>916</v>
      </c>
      <c r="J10" s="40" t="s">
        <v>939</v>
      </c>
      <c r="K10" s="40" t="s">
        <v>940</v>
      </c>
      <c r="L10" s="40" t="s">
        <v>940</v>
      </c>
      <c r="M10" s="40" t="s">
        <v>941</v>
      </c>
      <c r="N10" s="40" t="s">
        <v>916</v>
      </c>
      <c r="O10" s="274" t="s">
        <v>942</v>
      </c>
      <c r="P10" s="40">
        <v>3</v>
      </c>
    </row>
    <row r="11" spans="2:16" ht="12.75">
      <c r="B11" s="40" t="s">
        <v>932</v>
      </c>
      <c r="C11" s="40" t="s">
        <v>943</v>
      </c>
      <c r="D11" s="73" t="s">
        <v>944</v>
      </c>
      <c r="E11" s="73" t="s">
        <v>945</v>
      </c>
      <c r="F11" s="73" t="s">
        <v>946</v>
      </c>
      <c r="G11" s="73" t="s">
        <v>947</v>
      </c>
      <c r="H11" s="40" t="s">
        <v>948</v>
      </c>
      <c r="I11" s="40" t="s">
        <v>949</v>
      </c>
      <c r="J11" s="40" t="s">
        <v>931</v>
      </c>
      <c r="K11" s="40" t="s">
        <v>949</v>
      </c>
      <c r="L11" s="40" t="s">
        <v>931</v>
      </c>
      <c r="M11" s="40" t="s">
        <v>950</v>
      </c>
      <c r="N11" s="40" t="s">
        <v>951</v>
      </c>
      <c r="O11" s="274" t="s">
        <v>952</v>
      </c>
      <c r="P11" s="40">
        <v>4</v>
      </c>
    </row>
    <row r="12" spans="2:16" ht="12.75">
      <c r="B12" s="40" t="s">
        <v>941</v>
      </c>
      <c r="C12" s="40" t="s">
        <v>953</v>
      </c>
      <c r="D12" s="73" t="s">
        <v>954</v>
      </c>
      <c r="E12" s="73" t="s">
        <v>955</v>
      </c>
      <c r="F12" s="73" t="s">
        <v>920</v>
      </c>
      <c r="G12" s="73" t="s">
        <v>921</v>
      </c>
      <c r="H12" s="40" t="s">
        <v>931</v>
      </c>
      <c r="I12" s="40" t="s">
        <v>932</v>
      </c>
      <c r="J12" s="40" t="s">
        <v>956</v>
      </c>
      <c r="K12" s="40" t="s">
        <v>941</v>
      </c>
      <c r="L12" s="40" t="s">
        <v>922</v>
      </c>
      <c r="M12" s="40" t="s">
        <v>957</v>
      </c>
      <c r="N12" s="40" t="s">
        <v>948</v>
      </c>
      <c r="O12" s="274" t="s">
        <v>958</v>
      </c>
      <c r="P12" s="40">
        <v>5</v>
      </c>
    </row>
    <row r="13" spans="2:16" ht="12.75">
      <c r="B13" s="40" t="s">
        <v>949</v>
      </c>
      <c r="C13" s="40" t="s">
        <v>959</v>
      </c>
      <c r="D13" s="73" t="s">
        <v>960</v>
      </c>
      <c r="E13" s="73" t="s">
        <v>961</v>
      </c>
      <c r="F13" s="73" t="s">
        <v>962</v>
      </c>
      <c r="G13" s="73" t="s">
        <v>963</v>
      </c>
      <c r="H13" s="40" t="s">
        <v>932</v>
      </c>
      <c r="I13" s="40" t="s">
        <v>941</v>
      </c>
      <c r="J13" s="40" t="s">
        <v>948</v>
      </c>
      <c r="K13" s="40" t="s">
        <v>964</v>
      </c>
      <c r="L13" s="40" t="s">
        <v>965</v>
      </c>
      <c r="M13" s="40" t="s">
        <v>922</v>
      </c>
      <c r="N13" s="40" t="s">
        <v>966</v>
      </c>
      <c r="O13" s="274" t="s">
        <v>967</v>
      </c>
      <c r="P13" s="40">
        <v>6</v>
      </c>
    </row>
    <row r="14" spans="2:16" ht="12.75">
      <c r="B14" s="40" t="s">
        <v>950</v>
      </c>
      <c r="C14" s="40" t="s">
        <v>968</v>
      </c>
      <c r="D14" s="73" t="s">
        <v>969</v>
      </c>
      <c r="E14" s="73" t="s">
        <v>970</v>
      </c>
      <c r="F14" s="73" t="s">
        <v>971</v>
      </c>
      <c r="G14" s="73" t="s">
        <v>972</v>
      </c>
      <c r="H14" s="40" t="s">
        <v>966</v>
      </c>
      <c r="I14" s="40" t="s">
        <v>973</v>
      </c>
      <c r="J14" s="40" t="s">
        <v>922</v>
      </c>
      <c r="K14" s="40" t="s">
        <v>932</v>
      </c>
      <c r="L14" s="40" t="s">
        <v>964</v>
      </c>
      <c r="M14" s="40" t="s">
        <v>964</v>
      </c>
      <c r="N14" s="40" t="s">
        <v>932</v>
      </c>
      <c r="O14" s="274" t="s">
        <v>974</v>
      </c>
      <c r="P14" s="40">
        <v>7</v>
      </c>
    </row>
    <row r="15" spans="2:16" ht="12.75">
      <c r="B15" s="40" t="s">
        <v>940</v>
      </c>
      <c r="C15" s="40" t="s">
        <v>975</v>
      </c>
      <c r="D15" s="73" t="s">
        <v>976</v>
      </c>
      <c r="E15" s="73" t="s">
        <v>977</v>
      </c>
      <c r="F15" s="73" t="s">
        <v>920</v>
      </c>
      <c r="G15" s="73" t="s">
        <v>978</v>
      </c>
      <c r="H15" s="40" t="s">
        <v>941</v>
      </c>
      <c r="I15" s="40" t="s">
        <v>940</v>
      </c>
      <c r="J15" s="40" t="s">
        <v>979</v>
      </c>
      <c r="K15" s="40" t="s">
        <v>931</v>
      </c>
      <c r="L15" s="40" t="s">
        <v>980</v>
      </c>
      <c r="M15" s="40" t="s">
        <v>948</v>
      </c>
      <c r="N15" s="40" t="s">
        <v>941</v>
      </c>
      <c r="O15" s="274" t="s">
        <v>981</v>
      </c>
      <c r="P15" s="40">
        <v>8</v>
      </c>
    </row>
    <row r="16" spans="2:16" ht="12.75">
      <c r="B16" s="40" t="s">
        <v>948</v>
      </c>
      <c r="C16" s="40" t="s">
        <v>982</v>
      </c>
      <c r="D16" s="73" t="s">
        <v>983</v>
      </c>
      <c r="E16" s="73" t="s">
        <v>984</v>
      </c>
      <c r="F16" s="73" t="s">
        <v>985</v>
      </c>
      <c r="G16" s="73" t="s">
        <v>921</v>
      </c>
      <c r="H16" s="40" t="s">
        <v>949</v>
      </c>
      <c r="I16" s="40" t="s">
        <v>986</v>
      </c>
      <c r="J16" s="40" t="s">
        <v>950</v>
      </c>
      <c r="K16" s="40" t="s">
        <v>973</v>
      </c>
      <c r="L16" s="40" t="s">
        <v>941</v>
      </c>
      <c r="M16" s="40" t="s">
        <v>949</v>
      </c>
      <c r="N16" s="40" t="s">
        <v>940</v>
      </c>
      <c r="O16" s="274" t="s">
        <v>987</v>
      </c>
      <c r="P16" s="40">
        <v>9</v>
      </c>
    </row>
    <row r="17" spans="2:16" ht="12.75">
      <c r="B17" s="40" t="s">
        <v>966</v>
      </c>
      <c r="C17" s="40" t="s">
        <v>988</v>
      </c>
      <c r="D17" s="73" t="s">
        <v>989</v>
      </c>
      <c r="E17" s="73" t="s">
        <v>990</v>
      </c>
      <c r="F17" s="73" t="s">
        <v>920</v>
      </c>
      <c r="G17" s="73" t="s">
        <v>921</v>
      </c>
      <c r="H17" s="40" t="s">
        <v>940</v>
      </c>
      <c r="I17" s="40" t="s">
        <v>964</v>
      </c>
      <c r="J17" s="40" t="s">
        <v>940</v>
      </c>
      <c r="K17" s="40" t="s">
        <v>948</v>
      </c>
      <c r="L17" s="40" t="s">
        <v>949</v>
      </c>
      <c r="M17" s="40" t="s">
        <v>980</v>
      </c>
      <c r="N17" s="40" t="s">
        <v>965</v>
      </c>
      <c r="O17" s="274" t="s">
        <v>991</v>
      </c>
      <c r="P17" s="40">
        <v>10</v>
      </c>
    </row>
    <row r="18" spans="2:16" ht="12.75">
      <c r="B18" s="40" t="s">
        <v>964</v>
      </c>
      <c r="C18" s="40" t="s">
        <v>992</v>
      </c>
      <c r="D18" s="73" t="s">
        <v>920</v>
      </c>
      <c r="E18" s="73" t="s">
        <v>993</v>
      </c>
      <c r="F18" s="73" t="s">
        <v>920</v>
      </c>
      <c r="G18" s="73" t="s">
        <v>963</v>
      </c>
      <c r="H18" s="40" t="s">
        <v>980</v>
      </c>
      <c r="I18" s="40" t="s">
        <v>950</v>
      </c>
      <c r="J18" s="40" t="s">
        <v>964</v>
      </c>
      <c r="K18" s="40" t="s">
        <v>966</v>
      </c>
      <c r="L18" s="40" t="s">
        <v>950</v>
      </c>
      <c r="M18" s="40" t="s">
        <v>966</v>
      </c>
      <c r="N18" s="40" t="s">
        <v>994</v>
      </c>
      <c r="O18" s="274" t="s">
        <v>995</v>
      </c>
      <c r="P18" s="40">
        <v>11</v>
      </c>
    </row>
    <row r="19" spans="2:16" ht="12.75">
      <c r="B19" s="40" t="s">
        <v>956</v>
      </c>
      <c r="C19" s="40" t="s">
        <v>996</v>
      </c>
      <c r="D19" s="73" t="s">
        <v>997</v>
      </c>
      <c r="E19" s="73" t="s">
        <v>998</v>
      </c>
      <c r="F19" s="73" t="s">
        <v>920</v>
      </c>
      <c r="G19" s="73" t="s">
        <v>999</v>
      </c>
      <c r="H19" s="40" t="s">
        <v>1000</v>
      </c>
      <c r="I19" s="40" t="s">
        <v>1001</v>
      </c>
      <c r="J19" s="40" t="s">
        <v>1002</v>
      </c>
      <c r="K19" s="40" t="s">
        <v>950</v>
      </c>
      <c r="L19" s="40" t="s">
        <v>948</v>
      </c>
      <c r="M19" s="40" t="s">
        <v>932</v>
      </c>
      <c r="N19" s="40" t="s">
        <v>1000</v>
      </c>
      <c r="O19" s="274" t="s">
        <v>1003</v>
      </c>
      <c r="P19" s="40">
        <v>12</v>
      </c>
    </row>
    <row r="20" spans="2:16" ht="12.75">
      <c r="B20" s="40" t="s">
        <v>980</v>
      </c>
      <c r="C20" s="40" t="s">
        <v>1004</v>
      </c>
      <c r="D20" s="73" t="s">
        <v>1005</v>
      </c>
      <c r="E20" s="73" t="s">
        <v>1006</v>
      </c>
      <c r="F20" s="73" t="s">
        <v>1007</v>
      </c>
      <c r="G20" s="73" t="s">
        <v>921</v>
      </c>
      <c r="H20" s="40" t="s">
        <v>956</v>
      </c>
      <c r="I20" s="40" t="s">
        <v>980</v>
      </c>
      <c r="J20" s="40" t="s">
        <v>986</v>
      </c>
      <c r="K20" s="40" t="s">
        <v>986</v>
      </c>
      <c r="L20" s="40" t="s">
        <v>1008</v>
      </c>
      <c r="M20" s="40" t="s">
        <v>1009</v>
      </c>
      <c r="N20" s="40" t="s">
        <v>950</v>
      </c>
      <c r="O20" s="274" t="s">
        <v>1010</v>
      </c>
      <c r="P20" s="40">
        <v>13</v>
      </c>
    </row>
    <row r="21" spans="2:16" ht="12.75">
      <c r="B21" s="40" t="s">
        <v>1009</v>
      </c>
      <c r="C21" s="40" t="s">
        <v>1011</v>
      </c>
      <c r="D21" s="73" t="s">
        <v>1012</v>
      </c>
      <c r="E21" s="73" t="s">
        <v>1013</v>
      </c>
      <c r="F21" s="73" t="s">
        <v>1014</v>
      </c>
      <c r="G21" s="73" t="s">
        <v>978</v>
      </c>
      <c r="H21" s="40" t="s">
        <v>1009</v>
      </c>
      <c r="I21" s="40" t="s">
        <v>1000</v>
      </c>
      <c r="J21" s="40" t="s">
        <v>966</v>
      </c>
      <c r="K21" s="40" t="s">
        <v>980</v>
      </c>
      <c r="L21" s="40" t="s">
        <v>966</v>
      </c>
      <c r="M21" s="40" t="s">
        <v>986</v>
      </c>
      <c r="N21" s="40" t="s">
        <v>1015</v>
      </c>
      <c r="O21" s="274" t="s">
        <v>1016</v>
      </c>
      <c r="P21" s="40">
        <v>14</v>
      </c>
    </row>
    <row r="22" spans="2:16" ht="12.75">
      <c r="B22" s="40" t="s">
        <v>986</v>
      </c>
      <c r="C22" s="40" t="s">
        <v>1017</v>
      </c>
      <c r="D22" s="73" t="s">
        <v>1018</v>
      </c>
      <c r="E22" s="73" t="s">
        <v>1019</v>
      </c>
      <c r="F22" s="73" t="s">
        <v>920</v>
      </c>
      <c r="G22" s="73" t="s">
        <v>921</v>
      </c>
      <c r="H22" s="40" t="s">
        <v>964</v>
      </c>
      <c r="I22" s="40" t="s">
        <v>1020</v>
      </c>
      <c r="J22" s="40" t="s">
        <v>941</v>
      </c>
      <c r="K22" s="40" t="s">
        <v>1021</v>
      </c>
      <c r="L22" s="40" t="s">
        <v>1022</v>
      </c>
      <c r="M22" s="40" t="s">
        <v>1001</v>
      </c>
      <c r="N22" s="40" t="s">
        <v>1023</v>
      </c>
      <c r="O22" s="274" t="s">
        <v>1024</v>
      </c>
      <c r="P22" s="40">
        <v>15</v>
      </c>
    </row>
    <row r="23" spans="2:16" ht="12.75">
      <c r="B23" s="40" t="s">
        <v>1022</v>
      </c>
      <c r="C23" s="40" t="s">
        <v>1025</v>
      </c>
      <c r="D23" s="73" t="s">
        <v>1026</v>
      </c>
      <c r="E23" s="73" t="s">
        <v>1027</v>
      </c>
      <c r="F23" s="73" t="s">
        <v>920</v>
      </c>
      <c r="G23" s="73" t="s">
        <v>999</v>
      </c>
      <c r="H23" s="40" t="s">
        <v>1028</v>
      </c>
      <c r="I23" s="40" t="s">
        <v>956</v>
      </c>
      <c r="J23" s="40" t="s">
        <v>1009</v>
      </c>
      <c r="K23" s="40" t="s">
        <v>1029</v>
      </c>
      <c r="L23" s="40" t="s">
        <v>1029</v>
      </c>
      <c r="M23" s="40" t="s">
        <v>1029</v>
      </c>
      <c r="N23" s="40" t="s">
        <v>1022</v>
      </c>
      <c r="O23" s="274" t="s">
        <v>1030</v>
      </c>
      <c r="P23" s="40">
        <v>16</v>
      </c>
    </row>
    <row r="24" spans="2:16" ht="12.75">
      <c r="B24" s="40" t="s">
        <v>1000</v>
      </c>
      <c r="C24" s="40" t="s">
        <v>1031</v>
      </c>
      <c r="D24" s="73" t="s">
        <v>1032</v>
      </c>
      <c r="E24" s="73" t="s">
        <v>1033</v>
      </c>
      <c r="F24" s="73" t="s">
        <v>920</v>
      </c>
      <c r="G24" s="73" t="s">
        <v>947</v>
      </c>
      <c r="H24" s="40" t="s">
        <v>1002</v>
      </c>
      <c r="I24" s="40" t="s">
        <v>1009</v>
      </c>
      <c r="J24" s="40" t="s">
        <v>1022</v>
      </c>
      <c r="K24" s="40" t="s">
        <v>956</v>
      </c>
      <c r="L24" s="40" t="s">
        <v>956</v>
      </c>
      <c r="M24" s="40" t="s">
        <v>1034</v>
      </c>
      <c r="N24" s="40" t="s">
        <v>980</v>
      </c>
      <c r="O24" s="274" t="s">
        <v>1035</v>
      </c>
      <c r="P24" s="40">
        <v>17</v>
      </c>
    </row>
    <row r="25" spans="2:16" ht="12.75">
      <c r="B25" s="40" t="s">
        <v>1021</v>
      </c>
      <c r="C25" s="40" t="s">
        <v>964</v>
      </c>
      <c r="D25" s="73" t="s">
        <v>1036</v>
      </c>
      <c r="E25" s="73" t="s">
        <v>1037</v>
      </c>
      <c r="F25" s="73" t="s">
        <v>1038</v>
      </c>
      <c r="G25" s="73" t="s">
        <v>999</v>
      </c>
      <c r="H25" s="40" t="s">
        <v>986</v>
      </c>
      <c r="I25" s="40" t="s">
        <v>1039</v>
      </c>
      <c r="J25" s="40" t="s">
        <v>973</v>
      </c>
      <c r="K25" s="40" t="s">
        <v>1009</v>
      </c>
      <c r="L25" s="40" t="s">
        <v>986</v>
      </c>
      <c r="M25" s="40" t="s">
        <v>1022</v>
      </c>
      <c r="N25" s="40" t="s">
        <v>949</v>
      </c>
      <c r="O25" s="274" t="s">
        <v>1040</v>
      </c>
      <c r="P25" s="40">
        <v>18</v>
      </c>
    </row>
    <row r="26" spans="2:16" ht="12.75">
      <c r="B26" s="40" t="s">
        <v>1034</v>
      </c>
      <c r="C26" s="40" t="s">
        <v>1041</v>
      </c>
      <c r="D26" s="73" t="s">
        <v>1042</v>
      </c>
      <c r="E26" s="73" t="s">
        <v>1043</v>
      </c>
      <c r="F26" s="73" t="s">
        <v>920</v>
      </c>
      <c r="G26" s="73" t="s">
        <v>999</v>
      </c>
      <c r="H26" s="40" t="s">
        <v>1021</v>
      </c>
      <c r="I26" s="40" t="s">
        <v>966</v>
      </c>
      <c r="J26" s="40" t="s">
        <v>1044</v>
      </c>
      <c r="K26" s="40" t="s">
        <v>1000</v>
      </c>
      <c r="L26" s="40" t="s">
        <v>1000</v>
      </c>
      <c r="M26" s="40" t="s">
        <v>940</v>
      </c>
      <c r="N26" s="40" t="s">
        <v>1001</v>
      </c>
      <c r="O26" s="274" t="s">
        <v>1045</v>
      </c>
      <c r="P26" s="40">
        <v>19</v>
      </c>
    </row>
    <row r="27" spans="2:16" ht="12.75">
      <c r="B27" s="40" t="s">
        <v>1001</v>
      </c>
      <c r="C27" s="40" t="s">
        <v>940</v>
      </c>
      <c r="D27" s="73" t="s">
        <v>1046</v>
      </c>
      <c r="E27" s="73" t="s">
        <v>1047</v>
      </c>
      <c r="F27" s="73" t="s">
        <v>920</v>
      </c>
      <c r="G27" s="73" t="s">
        <v>921</v>
      </c>
      <c r="H27" s="40" t="s">
        <v>1048</v>
      </c>
      <c r="I27" s="40" t="s">
        <v>1049</v>
      </c>
      <c r="J27" s="40" t="s">
        <v>1021</v>
      </c>
      <c r="K27" s="40" t="s">
        <v>1034</v>
      </c>
      <c r="L27" s="40" t="s">
        <v>1049</v>
      </c>
      <c r="M27" s="40" t="s">
        <v>956</v>
      </c>
      <c r="N27" s="40" t="s">
        <v>956</v>
      </c>
      <c r="O27" s="274" t="s">
        <v>1050</v>
      </c>
      <c r="P27" s="40">
        <v>20</v>
      </c>
    </row>
    <row r="28" spans="2:16" ht="12.75">
      <c r="B28" s="40" t="s">
        <v>1049</v>
      </c>
      <c r="C28" s="40" t="s">
        <v>949</v>
      </c>
      <c r="D28" s="73" t="s">
        <v>1051</v>
      </c>
      <c r="E28" s="73" t="s">
        <v>1052</v>
      </c>
      <c r="F28" s="73" t="s">
        <v>920</v>
      </c>
      <c r="G28" s="73" t="s">
        <v>921</v>
      </c>
      <c r="H28" s="40" t="s">
        <v>1034</v>
      </c>
      <c r="I28" s="40" t="s">
        <v>1022</v>
      </c>
      <c r="J28" s="40" t="s">
        <v>1034</v>
      </c>
      <c r="K28" s="40" t="s">
        <v>1022</v>
      </c>
      <c r="L28" s="40" t="s">
        <v>1053</v>
      </c>
      <c r="M28" s="40" t="s">
        <v>1021</v>
      </c>
      <c r="N28" s="40" t="s">
        <v>1048</v>
      </c>
      <c r="O28" s="274" t="s">
        <v>1054</v>
      </c>
      <c r="P28" s="40">
        <v>21</v>
      </c>
    </row>
    <row r="29" spans="2:16" ht="12.75">
      <c r="B29" s="40" t="s">
        <v>1053</v>
      </c>
      <c r="C29" s="40" t="s">
        <v>1055</v>
      </c>
      <c r="D29" s="73" t="s">
        <v>1056</v>
      </c>
      <c r="E29" s="73" t="s">
        <v>1057</v>
      </c>
      <c r="F29" s="73" t="s">
        <v>920</v>
      </c>
      <c r="G29" s="73" t="s">
        <v>921</v>
      </c>
      <c r="H29" s="40" t="s">
        <v>1001</v>
      </c>
      <c r="I29" s="40" t="s">
        <v>1034</v>
      </c>
      <c r="J29" s="40" t="s">
        <v>1000</v>
      </c>
      <c r="K29" s="40" t="s">
        <v>1001</v>
      </c>
      <c r="L29" s="40" t="s">
        <v>1048</v>
      </c>
      <c r="M29" s="40" t="s">
        <v>943</v>
      </c>
      <c r="N29" s="40" t="s">
        <v>986</v>
      </c>
      <c r="O29" s="274" t="s">
        <v>1058</v>
      </c>
      <c r="P29" s="40">
        <v>22</v>
      </c>
    </row>
    <row r="30" spans="2:16" ht="12.75">
      <c r="B30" s="40" t="s">
        <v>943</v>
      </c>
      <c r="C30" s="40" t="s">
        <v>1059</v>
      </c>
      <c r="D30" s="73" t="s">
        <v>1060</v>
      </c>
      <c r="E30" s="73" t="s">
        <v>1061</v>
      </c>
      <c r="F30" s="73" t="s">
        <v>920</v>
      </c>
      <c r="G30" s="73" t="s">
        <v>921</v>
      </c>
      <c r="H30" s="40" t="s">
        <v>994</v>
      </c>
      <c r="I30" s="40" t="s">
        <v>1053</v>
      </c>
      <c r="J30" s="40" t="s">
        <v>1053</v>
      </c>
      <c r="K30" s="40" t="s">
        <v>1049</v>
      </c>
      <c r="L30" s="40" t="s">
        <v>1034</v>
      </c>
      <c r="M30" s="40" t="s">
        <v>1049</v>
      </c>
      <c r="N30" s="40" t="s">
        <v>1021</v>
      </c>
      <c r="O30" s="274" t="s">
        <v>1062</v>
      </c>
      <c r="P30" s="40">
        <v>23</v>
      </c>
    </row>
    <row r="31" spans="2:16" ht="12.75">
      <c r="B31" s="50" t="s">
        <v>1063</v>
      </c>
      <c r="C31" s="50" t="s">
        <v>1064</v>
      </c>
      <c r="D31" s="74" t="s">
        <v>1065</v>
      </c>
      <c r="E31" s="74" t="s">
        <v>1066</v>
      </c>
      <c r="F31" s="74" t="s">
        <v>920</v>
      </c>
      <c r="G31" s="74" t="s">
        <v>921</v>
      </c>
      <c r="H31" s="50" t="s">
        <v>1053</v>
      </c>
      <c r="I31" s="50" t="s">
        <v>973</v>
      </c>
      <c r="J31" s="50" t="s">
        <v>1067</v>
      </c>
      <c r="K31" s="50" t="s">
        <v>1053</v>
      </c>
      <c r="L31" s="50" t="s">
        <v>1001</v>
      </c>
      <c r="M31" s="50" t="s">
        <v>1053</v>
      </c>
      <c r="N31" s="50" t="s">
        <v>1049</v>
      </c>
      <c r="O31" s="275" t="s">
        <v>1068</v>
      </c>
      <c r="P31" s="50">
        <v>24</v>
      </c>
    </row>
    <row r="32" spans="2:16" ht="12.75">
      <c r="B32" s="27"/>
      <c r="C32" s="27"/>
      <c r="D32" s="27"/>
      <c r="E32" s="27"/>
      <c r="F32" s="27"/>
      <c r="G32" s="27"/>
      <c r="H32" s="27"/>
      <c r="I32" s="27"/>
      <c r="J32" s="27"/>
      <c r="K32" s="27"/>
      <c r="L32" s="27"/>
      <c r="M32" s="27"/>
      <c r="N32" s="27"/>
      <c r="O32" s="27"/>
      <c r="P32" s="27"/>
    </row>
    <row r="33" spans="2:16" ht="12.75">
      <c r="B33" s="136" t="s">
        <v>854</v>
      </c>
      <c r="C33" s="27"/>
      <c r="D33" s="27"/>
      <c r="E33" s="27"/>
      <c r="F33" s="27"/>
      <c r="G33" s="27"/>
      <c r="H33" s="27"/>
      <c r="I33" s="27"/>
      <c r="J33" s="27"/>
      <c r="K33" s="27"/>
      <c r="L33" s="27"/>
      <c r="M33" s="27"/>
      <c r="N33" s="27"/>
      <c r="O33" s="27"/>
      <c r="P33" s="27"/>
    </row>
    <row r="34" spans="2:16" ht="12.75">
      <c r="B34" s="27" t="s">
        <v>1069</v>
      </c>
      <c r="C34" s="27"/>
      <c r="D34" s="27"/>
      <c r="E34" s="27"/>
      <c r="F34" s="27"/>
      <c r="G34" s="27"/>
      <c r="H34" s="27"/>
      <c r="I34" s="27"/>
      <c r="J34" s="27"/>
      <c r="K34" s="27"/>
      <c r="L34" s="27"/>
      <c r="M34" s="27"/>
      <c r="N34" s="27"/>
      <c r="O34" s="27"/>
      <c r="P34" s="27"/>
    </row>
    <row r="35" spans="2:16" ht="12.75">
      <c r="B35" s="27" t="s">
        <v>1070</v>
      </c>
      <c r="C35" s="27"/>
      <c r="D35" s="27"/>
      <c r="E35" s="27"/>
      <c r="F35" s="27"/>
      <c r="G35" s="27"/>
      <c r="H35" s="27"/>
      <c r="I35" s="27"/>
      <c r="J35" s="27"/>
      <c r="K35" s="27"/>
      <c r="L35" s="27"/>
      <c r="M35" s="27"/>
      <c r="N35" s="27"/>
      <c r="O35" s="27"/>
      <c r="P35" s="27"/>
    </row>
    <row r="36" spans="2:16" ht="12.75">
      <c r="B36" s="27" t="s">
        <v>1071</v>
      </c>
      <c r="C36" s="27"/>
      <c r="D36" s="27"/>
      <c r="E36" s="27"/>
      <c r="F36" s="27"/>
      <c r="G36" s="27"/>
      <c r="H36" s="27"/>
      <c r="I36" s="27"/>
      <c r="J36" s="27"/>
      <c r="K36" s="27"/>
      <c r="L36" s="27"/>
      <c r="M36" s="27"/>
      <c r="N36" s="27"/>
      <c r="O36" s="27"/>
      <c r="P36" s="27"/>
    </row>
    <row r="37" spans="2:16" ht="12.75">
      <c r="B37" s="27"/>
      <c r="C37" s="27"/>
      <c r="D37" s="27"/>
      <c r="E37" s="27"/>
      <c r="F37" s="27"/>
      <c r="G37" s="27"/>
      <c r="H37" s="27"/>
      <c r="I37" s="27"/>
      <c r="J37" s="27"/>
      <c r="K37" s="27"/>
      <c r="L37" s="27"/>
      <c r="M37" s="27"/>
      <c r="N37" s="27"/>
      <c r="O37" s="27"/>
      <c r="P37" s="27"/>
    </row>
    <row r="38" spans="2:16" ht="12.75">
      <c r="B38" s="27" t="s">
        <v>1072</v>
      </c>
      <c r="C38" s="27"/>
      <c r="D38" s="27"/>
      <c r="E38" s="27"/>
      <c r="F38" s="27"/>
      <c r="G38" s="27"/>
      <c r="H38" s="27"/>
      <c r="I38" s="27"/>
      <c r="J38" s="27"/>
      <c r="K38" s="27"/>
      <c r="L38" s="27"/>
      <c r="M38" s="27"/>
      <c r="N38" s="27"/>
      <c r="O38" s="27"/>
      <c r="P38" s="27"/>
    </row>
    <row r="39" spans="2:16" ht="12.75">
      <c r="B39" s="27" t="s">
        <v>1073</v>
      </c>
      <c r="C39" s="27"/>
      <c r="D39" s="27"/>
      <c r="E39" s="27"/>
      <c r="F39" s="27"/>
      <c r="G39" s="27"/>
      <c r="H39" s="27"/>
      <c r="I39" s="27"/>
      <c r="J39" s="27"/>
      <c r="K39" s="27"/>
      <c r="L39" s="27"/>
      <c r="M39" s="27"/>
      <c r="N39" s="27"/>
      <c r="O39" s="27"/>
      <c r="P39" s="27"/>
    </row>
    <row r="41" spans="2:16" ht="12.75">
      <c r="B41" s="27" t="s">
        <v>1076</v>
      </c>
      <c r="C41" s="27"/>
      <c r="D41" s="27"/>
      <c r="E41" s="27"/>
      <c r="F41" s="27"/>
      <c r="G41" s="27"/>
      <c r="H41" s="27"/>
      <c r="I41" s="27"/>
      <c r="J41" s="27"/>
      <c r="K41" s="27"/>
      <c r="L41" s="27"/>
      <c r="M41" s="27"/>
      <c r="N41" s="27"/>
      <c r="O41" s="27"/>
      <c r="P41" s="27"/>
    </row>
    <row r="42" spans="2:16" ht="12.75">
      <c r="B42" s="75" t="s">
        <v>1075</v>
      </c>
      <c r="C42" s="27"/>
      <c r="D42" s="27"/>
      <c r="E42" s="27"/>
      <c r="F42" s="27"/>
      <c r="G42" s="27"/>
      <c r="H42" s="27"/>
      <c r="I42" s="27"/>
      <c r="J42" s="27"/>
      <c r="K42" s="27"/>
      <c r="L42" s="27"/>
      <c r="M42" s="27"/>
      <c r="N42" s="27"/>
      <c r="O42" s="27"/>
      <c r="P42" s="27"/>
    </row>
    <row r="43" spans="2:16" ht="12.75">
      <c r="B43" s="27"/>
      <c r="C43" s="27"/>
      <c r="D43" s="27"/>
      <c r="E43" s="27"/>
      <c r="F43" s="27"/>
      <c r="G43" s="27"/>
      <c r="H43" s="27"/>
      <c r="I43" s="27"/>
      <c r="J43" s="27"/>
      <c r="K43" s="27"/>
      <c r="L43" s="27"/>
      <c r="M43" s="27"/>
      <c r="N43" s="27"/>
      <c r="O43" s="27"/>
      <c r="P43" s="27"/>
    </row>
    <row r="44" spans="2:16" ht="12.75">
      <c r="B44" s="27" t="s">
        <v>1074</v>
      </c>
      <c r="C44" s="27"/>
      <c r="D44" s="27"/>
      <c r="E44" s="27"/>
      <c r="F44" s="27"/>
      <c r="G44" s="27"/>
      <c r="H44" s="27"/>
      <c r="I44" s="27"/>
      <c r="J44" s="27"/>
      <c r="K44" s="27"/>
      <c r="L44" s="27"/>
      <c r="M44" s="27"/>
      <c r="N44" s="27"/>
      <c r="O44" s="27"/>
      <c r="P44" s="27"/>
    </row>
    <row r="45" spans="2:16" ht="12.75">
      <c r="B45" s="27"/>
      <c r="C45" s="27"/>
      <c r="D45" s="27"/>
      <c r="E45" s="27"/>
      <c r="F45" s="27"/>
      <c r="G45" s="27"/>
      <c r="H45" s="27"/>
      <c r="I45" s="27"/>
      <c r="J45" s="27"/>
      <c r="K45" s="27"/>
      <c r="L45" s="27"/>
      <c r="M45" s="27"/>
      <c r="N45" s="27"/>
      <c r="O45" s="27"/>
      <c r="P45" s="27"/>
    </row>
    <row r="46" spans="2:16" ht="12.75">
      <c r="B46" s="27"/>
      <c r="C46" s="27"/>
      <c r="D46" s="27"/>
      <c r="E46" s="27"/>
      <c r="F46" s="27"/>
      <c r="G46" s="27"/>
      <c r="H46" s="27"/>
      <c r="I46" s="27"/>
      <c r="J46" s="27"/>
      <c r="K46" s="27"/>
      <c r="L46" s="27"/>
      <c r="M46" s="27"/>
      <c r="N46" s="27"/>
      <c r="O46" s="27"/>
      <c r="P46" s="27"/>
    </row>
  </sheetData>
  <sheetProtection/>
  <hyperlinks>
    <hyperlink ref="B42" r:id="rId1" display="http://www.shieldsclass.com/2006/"/>
  </hyperlink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43"/>
  <dimension ref="B2:N16"/>
  <sheetViews>
    <sheetView zoomScalePageLayoutView="0" workbookViewId="0" topLeftCell="A1">
      <selection activeCell="D32" sqref="D32"/>
    </sheetView>
  </sheetViews>
  <sheetFormatPr defaultColWidth="9.140625" defaultRowHeight="12.75"/>
  <cols>
    <col min="1" max="1" width="2.57421875" style="267" customWidth="1"/>
    <col min="2" max="2" width="5.28125" style="143" customWidth="1"/>
    <col min="3" max="3" width="5.57421875" style="143" customWidth="1"/>
    <col min="4" max="4" width="38.28125" style="267" bestFit="1" customWidth="1"/>
    <col min="5" max="5" width="4.57421875" style="143" bestFit="1" customWidth="1"/>
    <col min="6" max="11" width="7.00390625" style="143" bestFit="1" customWidth="1"/>
    <col min="12" max="12" width="4.28125" style="267" bestFit="1" customWidth="1"/>
    <col min="13" max="13" width="4.00390625" style="143" bestFit="1" customWidth="1"/>
    <col min="14" max="16384" width="9.140625" style="267" customWidth="1"/>
  </cols>
  <sheetData>
    <row r="2" spans="2:13" s="266" customFormat="1" ht="15.75">
      <c r="B2" s="21" t="s">
        <v>1080</v>
      </c>
      <c r="C2" s="140"/>
      <c r="E2" s="140"/>
      <c r="F2" s="140"/>
      <c r="G2" s="140"/>
      <c r="H2" s="140"/>
      <c r="I2" s="140"/>
      <c r="J2" s="140"/>
      <c r="K2" s="140"/>
      <c r="M2" s="140"/>
    </row>
    <row r="3" spans="2:13" s="266" customFormat="1" ht="15.75">
      <c r="B3" s="142" t="s">
        <v>1081</v>
      </c>
      <c r="C3" s="140"/>
      <c r="E3" s="140"/>
      <c r="F3" s="140"/>
      <c r="G3" s="140"/>
      <c r="H3" s="140"/>
      <c r="I3" s="140"/>
      <c r="J3" s="140"/>
      <c r="K3" s="140"/>
      <c r="M3" s="140"/>
    </row>
    <row r="4" ht="12.75" customHeight="1">
      <c r="B4" s="145" t="s">
        <v>350</v>
      </c>
    </row>
    <row r="5" spans="2:13" s="268" customFormat="1" ht="12.75" customHeight="1">
      <c r="B5" s="79"/>
      <c r="C5" s="128"/>
      <c r="E5" s="128"/>
      <c r="F5" s="128"/>
      <c r="G5" s="128"/>
      <c r="H5" s="128"/>
      <c r="I5" s="128"/>
      <c r="J5" s="128"/>
      <c r="K5" s="128"/>
      <c r="M5" s="128"/>
    </row>
    <row r="6" spans="2:13" s="268" customFormat="1" ht="12.75" customHeight="1">
      <c r="B6" s="128"/>
      <c r="C6" s="128"/>
      <c r="E6" s="128"/>
      <c r="F6" s="394">
        <v>38955</v>
      </c>
      <c r="G6" s="395"/>
      <c r="H6" s="396"/>
      <c r="I6" s="394">
        <v>38956</v>
      </c>
      <c r="J6" s="395"/>
      <c r="K6" s="396"/>
      <c r="M6" s="128"/>
    </row>
    <row r="7" spans="2:14" s="268" customFormat="1" ht="11.25">
      <c r="B7" s="84" t="s">
        <v>351</v>
      </c>
      <c r="C7" s="84" t="s">
        <v>390</v>
      </c>
      <c r="D7" s="84" t="s">
        <v>353</v>
      </c>
      <c r="E7" s="84"/>
      <c r="F7" s="83" t="s">
        <v>291</v>
      </c>
      <c r="G7" s="83" t="s">
        <v>292</v>
      </c>
      <c r="H7" s="83" t="s">
        <v>293</v>
      </c>
      <c r="I7" s="83" t="s">
        <v>302</v>
      </c>
      <c r="J7" s="83" t="s">
        <v>355</v>
      </c>
      <c r="K7" s="83" t="s">
        <v>391</v>
      </c>
      <c r="L7" s="269" t="s">
        <v>294</v>
      </c>
      <c r="M7" s="84" t="s">
        <v>434</v>
      </c>
      <c r="N7" s="270" t="s">
        <v>892</v>
      </c>
    </row>
    <row r="8" spans="2:14" s="268" customFormat="1" ht="11.25">
      <c r="B8" s="80">
        <v>1</v>
      </c>
      <c r="C8" s="80">
        <v>25</v>
      </c>
      <c r="D8" s="271" t="s">
        <v>357</v>
      </c>
      <c r="E8" s="230" t="s">
        <v>313</v>
      </c>
      <c r="F8" s="81">
        <v>1</v>
      </c>
      <c r="G8" s="81">
        <v>1</v>
      </c>
      <c r="H8" s="81">
        <v>1</v>
      </c>
      <c r="I8" s="81">
        <v>3</v>
      </c>
      <c r="J8" s="81">
        <v>1</v>
      </c>
      <c r="K8" s="81" t="s">
        <v>290</v>
      </c>
      <c r="L8" s="81">
        <f aca="true" t="shared" si="0" ref="L8:L15">SUM(F8:K8)+(COUNTA(F8:K8)-COUNT(F8:K8))*(MAX($B$8:$B$292)+1)</f>
        <v>16</v>
      </c>
      <c r="M8" s="81">
        <f aca="true" t="shared" si="1" ref="M8:M15">(IF(COUNT(F8:K8)=COUNTA(F8:K8),L8-MAX(F8:K8),L8-MAX($B$8:$B$16)-1))</f>
        <v>7</v>
      </c>
      <c r="N8" s="270">
        <f aca="true" t="shared" si="2" ref="N8:N15">M8+MIN(F8:K8)/100</f>
        <v>7.01</v>
      </c>
    </row>
    <row r="9" spans="2:14" s="268" customFormat="1" ht="11.25">
      <c r="B9" s="80">
        <v>2</v>
      </c>
      <c r="C9" s="80">
        <v>182</v>
      </c>
      <c r="D9" s="271" t="s">
        <v>359</v>
      </c>
      <c r="E9" s="230" t="s">
        <v>313</v>
      </c>
      <c r="F9" s="81">
        <v>2</v>
      </c>
      <c r="G9" s="81">
        <v>2</v>
      </c>
      <c r="H9" s="81">
        <v>2</v>
      </c>
      <c r="I9" s="81">
        <v>2</v>
      </c>
      <c r="J9" s="81">
        <v>2</v>
      </c>
      <c r="K9" s="81">
        <v>1</v>
      </c>
      <c r="L9" s="81">
        <f t="shared" si="0"/>
        <v>11</v>
      </c>
      <c r="M9" s="81">
        <f t="shared" si="1"/>
        <v>9</v>
      </c>
      <c r="N9" s="270">
        <f t="shared" si="2"/>
        <v>9.01</v>
      </c>
    </row>
    <row r="10" spans="2:14" s="268" customFormat="1" ht="11.25">
      <c r="B10" s="80">
        <v>3</v>
      </c>
      <c r="C10" s="80">
        <v>221</v>
      </c>
      <c r="D10" s="271" t="s">
        <v>407</v>
      </c>
      <c r="E10" s="230" t="s">
        <v>313</v>
      </c>
      <c r="F10" s="81">
        <v>3</v>
      </c>
      <c r="G10" s="81">
        <v>3</v>
      </c>
      <c r="H10" s="81">
        <v>4</v>
      </c>
      <c r="I10" s="81">
        <v>5</v>
      </c>
      <c r="J10" s="81">
        <v>3</v>
      </c>
      <c r="K10" s="81">
        <v>2</v>
      </c>
      <c r="L10" s="81">
        <f t="shared" si="0"/>
        <v>20</v>
      </c>
      <c r="M10" s="81">
        <f t="shared" si="1"/>
        <v>15</v>
      </c>
      <c r="N10" s="270">
        <f t="shared" si="2"/>
        <v>15.02</v>
      </c>
    </row>
    <row r="11" spans="2:14" s="268" customFormat="1" ht="11.25">
      <c r="B11" s="80">
        <v>4</v>
      </c>
      <c r="C11" s="80">
        <v>54</v>
      </c>
      <c r="D11" s="271" t="s">
        <v>414</v>
      </c>
      <c r="E11" s="230" t="s">
        <v>313</v>
      </c>
      <c r="F11" s="81">
        <v>5</v>
      </c>
      <c r="G11" s="81">
        <v>6</v>
      </c>
      <c r="H11" s="81">
        <v>5</v>
      </c>
      <c r="I11" s="81">
        <v>1</v>
      </c>
      <c r="J11" s="81">
        <v>6</v>
      </c>
      <c r="K11" s="81">
        <v>3</v>
      </c>
      <c r="L11" s="81">
        <f t="shared" si="0"/>
        <v>26</v>
      </c>
      <c r="M11" s="81">
        <f t="shared" si="1"/>
        <v>20</v>
      </c>
      <c r="N11" s="270">
        <f t="shared" si="2"/>
        <v>20.01</v>
      </c>
    </row>
    <row r="12" spans="2:14" s="268" customFormat="1" ht="11.25">
      <c r="B12" s="80">
        <v>5</v>
      </c>
      <c r="C12" s="80">
        <v>176</v>
      </c>
      <c r="D12" s="271" t="s">
        <v>406</v>
      </c>
      <c r="E12" s="230" t="s">
        <v>313</v>
      </c>
      <c r="F12" s="81">
        <v>6</v>
      </c>
      <c r="G12" s="81">
        <v>4</v>
      </c>
      <c r="H12" s="81">
        <v>6</v>
      </c>
      <c r="I12" s="81">
        <v>4</v>
      </c>
      <c r="J12" s="81">
        <v>5</v>
      </c>
      <c r="K12" s="81">
        <v>4</v>
      </c>
      <c r="L12" s="81">
        <f t="shared" si="0"/>
        <v>29</v>
      </c>
      <c r="M12" s="81">
        <f t="shared" si="1"/>
        <v>23</v>
      </c>
      <c r="N12" s="270">
        <f t="shared" si="2"/>
        <v>23.04</v>
      </c>
    </row>
    <row r="13" spans="2:14" s="268" customFormat="1" ht="11.25">
      <c r="B13" s="80">
        <v>6</v>
      </c>
      <c r="C13" s="80">
        <v>117</v>
      </c>
      <c r="D13" s="271" t="s">
        <v>781</v>
      </c>
      <c r="E13" s="230" t="s">
        <v>313</v>
      </c>
      <c r="F13" s="81">
        <v>4</v>
      </c>
      <c r="G13" s="81">
        <v>5</v>
      </c>
      <c r="H13" s="81">
        <v>3</v>
      </c>
      <c r="I13" s="81">
        <v>7</v>
      </c>
      <c r="J13" s="81">
        <v>7</v>
      </c>
      <c r="K13" s="81" t="s">
        <v>290</v>
      </c>
      <c r="L13" s="81">
        <f t="shared" si="0"/>
        <v>35</v>
      </c>
      <c r="M13" s="81">
        <f t="shared" si="1"/>
        <v>26</v>
      </c>
      <c r="N13" s="270">
        <f>M13+MIN(F13:K13)/100+0.1</f>
        <v>26.130000000000003</v>
      </c>
    </row>
    <row r="14" spans="2:14" s="268" customFormat="1" ht="11.25">
      <c r="B14" s="80">
        <v>7</v>
      </c>
      <c r="C14" s="80">
        <v>142</v>
      </c>
      <c r="D14" s="271" t="s">
        <v>839</v>
      </c>
      <c r="E14" s="230" t="s">
        <v>313</v>
      </c>
      <c r="F14" s="81" t="s">
        <v>290</v>
      </c>
      <c r="G14" s="81" t="s">
        <v>290</v>
      </c>
      <c r="H14" s="81" t="s">
        <v>290</v>
      </c>
      <c r="I14" s="81">
        <v>6</v>
      </c>
      <c r="J14" s="81">
        <v>4</v>
      </c>
      <c r="K14" s="81">
        <v>5</v>
      </c>
      <c r="L14" s="81">
        <f t="shared" si="0"/>
        <v>42</v>
      </c>
      <c r="M14" s="81">
        <f t="shared" si="1"/>
        <v>33</v>
      </c>
      <c r="N14" s="270">
        <f t="shared" si="2"/>
        <v>33.04</v>
      </c>
    </row>
    <row r="15" spans="2:14" s="268" customFormat="1" ht="11.25">
      <c r="B15" s="82">
        <v>8</v>
      </c>
      <c r="C15" s="82">
        <v>38</v>
      </c>
      <c r="D15" s="272" t="s">
        <v>782</v>
      </c>
      <c r="E15" s="265" t="s">
        <v>313</v>
      </c>
      <c r="F15" s="83">
        <v>7</v>
      </c>
      <c r="G15" s="83">
        <v>7</v>
      </c>
      <c r="H15" s="83">
        <v>7</v>
      </c>
      <c r="I15" s="83" t="s">
        <v>361</v>
      </c>
      <c r="J15" s="83" t="s">
        <v>361</v>
      </c>
      <c r="K15" s="83" t="s">
        <v>361</v>
      </c>
      <c r="L15" s="83">
        <f t="shared" si="0"/>
        <v>48</v>
      </c>
      <c r="M15" s="83">
        <f t="shared" si="1"/>
        <v>39</v>
      </c>
      <c r="N15" s="270">
        <f t="shared" si="2"/>
        <v>39.07</v>
      </c>
    </row>
    <row r="16" spans="2:13" s="268" customFormat="1" ht="11.25">
      <c r="B16" s="230"/>
      <c r="C16" s="230"/>
      <c r="D16" s="273"/>
      <c r="E16" s="230"/>
      <c r="F16" s="230"/>
      <c r="G16" s="230"/>
      <c r="H16" s="230"/>
      <c r="I16" s="230"/>
      <c r="J16" s="230"/>
      <c r="K16" s="230"/>
      <c r="M16" s="128"/>
    </row>
  </sheetData>
  <sheetProtection/>
  <mergeCells count="2">
    <mergeCell ref="F6:H6"/>
    <mergeCell ref="I6:K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44"/>
  <dimension ref="A2:K28"/>
  <sheetViews>
    <sheetView zoomScalePageLayoutView="0" workbookViewId="0" topLeftCell="A1">
      <selection activeCell="D32" sqref="D32"/>
    </sheetView>
  </sheetViews>
  <sheetFormatPr defaultColWidth="9.140625" defaultRowHeight="12.75"/>
  <cols>
    <col min="1" max="1" width="5.421875" style="280" customWidth="1"/>
    <col min="2" max="2" width="9.140625" style="280" customWidth="1"/>
    <col min="3" max="3" width="13.421875" style="280" customWidth="1"/>
    <col min="4" max="4" width="30.421875" style="280" bestFit="1" customWidth="1"/>
    <col min="5" max="5" width="16.8515625" style="280" customWidth="1"/>
    <col min="6" max="11" width="9.140625" style="284" customWidth="1"/>
    <col min="12" max="16384" width="9.140625" style="280" customWidth="1"/>
  </cols>
  <sheetData>
    <row r="2" spans="2:11" s="3" customFormat="1" ht="15.75">
      <c r="B2" s="21" t="s">
        <v>586</v>
      </c>
      <c r="F2" s="11"/>
      <c r="G2" s="11"/>
      <c r="H2" s="11"/>
      <c r="I2" s="11"/>
      <c r="J2" s="11"/>
      <c r="K2" s="11"/>
    </row>
    <row r="3" spans="2:11" s="3" customFormat="1" ht="15.75">
      <c r="B3" s="142" t="s">
        <v>1104</v>
      </c>
      <c r="F3" s="11"/>
      <c r="G3" s="11"/>
      <c r="H3" s="11"/>
      <c r="I3" s="11"/>
      <c r="J3" s="11"/>
      <c r="K3" s="11"/>
    </row>
    <row r="4" spans="2:11" s="3" customFormat="1" ht="12.75">
      <c r="B4" s="145" t="s">
        <v>350</v>
      </c>
      <c r="F4" s="11"/>
      <c r="G4" s="11"/>
      <c r="H4" s="11"/>
      <c r="I4" s="11"/>
      <c r="J4" s="11"/>
      <c r="K4" s="11"/>
    </row>
    <row r="5" spans="6:11" s="3" customFormat="1" ht="12.75">
      <c r="F5" s="11"/>
      <c r="G5" s="11"/>
      <c r="H5" s="11"/>
      <c r="I5" s="11"/>
      <c r="J5" s="11"/>
      <c r="K5" s="11"/>
    </row>
    <row r="6" spans="2:9" ht="12.75">
      <c r="B6" s="278" t="s">
        <v>787</v>
      </c>
      <c r="C6" s="278"/>
      <c r="D6" s="278"/>
      <c r="E6" s="278"/>
      <c r="F6" s="283"/>
      <c r="G6" s="283"/>
      <c r="H6" s="283"/>
      <c r="I6" s="283"/>
    </row>
    <row r="7" spans="1:11" ht="12.75">
      <c r="A7" s="278"/>
      <c r="B7" s="281" t="s">
        <v>451</v>
      </c>
      <c r="C7" s="281" t="s">
        <v>550</v>
      </c>
      <c r="D7" s="281" t="s">
        <v>551</v>
      </c>
      <c r="E7" s="281" t="s">
        <v>1083</v>
      </c>
      <c r="F7" s="281" t="s">
        <v>294</v>
      </c>
      <c r="G7" s="281" t="s">
        <v>552</v>
      </c>
      <c r="H7" s="281" t="s">
        <v>553</v>
      </c>
      <c r="I7" s="281" t="s">
        <v>569</v>
      </c>
      <c r="J7" s="281" t="s">
        <v>570</v>
      </c>
      <c r="K7" s="281" t="s">
        <v>613</v>
      </c>
    </row>
    <row r="8" spans="1:11" ht="12.75">
      <c r="A8" s="279">
        <v>1</v>
      </c>
      <c r="B8" s="285" t="s">
        <v>1105</v>
      </c>
      <c r="C8" s="286" t="s">
        <v>1106</v>
      </c>
      <c r="D8" s="286" t="s">
        <v>1085</v>
      </c>
      <c r="E8" s="286" t="s">
        <v>1086</v>
      </c>
      <c r="F8" s="287">
        <v>7</v>
      </c>
      <c r="G8" s="288">
        <v>2</v>
      </c>
      <c r="H8" s="288">
        <v>1</v>
      </c>
      <c r="I8" s="288">
        <v>2</v>
      </c>
      <c r="J8" s="81">
        <v>1</v>
      </c>
      <c r="K8" s="81">
        <v>1</v>
      </c>
    </row>
    <row r="9" spans="1:11" ht="12.75">
      <c r="A9" s="279">
        <v>2</v>
      </c>
      <c r="B9" s="286">
        <v>25</v>
      </c>
      <c r="C9" s="286" t="s">
        <v>554</v>
      </c>
      <c r="D9" s="286" t="s">
        <v>600</v>
      </c>
      <c r="E9" s="286" t="s">
        <v>1084</v>
      </c>
      <c r="F9" s="287">
        <v>9</v>
      </c>
      <c r="G9" s="288">
        <v>1</v>
      </c>
      <c r="H9" s="288">
        <v>2</v>
      </c>
      <c r="I9" s="288">
        <v>1</v>
      </c>
      <c r="J9" s="81">
        <v>2</v>
      </c>
      <c r="K9" s="81">
        <v>3</v>
      </c>
    </row>
    <row r="10" spans="1:11" ht="12.75">
      <c r="A10" s="279">
        <v>3</v>
      </c>
      <c r="B10" s="286">
        <v>182</v>
      </c>
      <c r="C10" s="286" t="s">
        <v>561</v>
      </c>
      <c r="D10" s="286" t="s">
        <v>1087</v>
      </c>
      <c r="E10" s="286" t="s">
        <v>1086</v>
      </c>
      <c r="F10" s="287">
        <v>24</v>
      </c>
      <c r="G10" s="288">
        <v>5</v>
      </c>
      <c r="H10" s="288">
        <v>3</v>
      </c>
      <c r="I10" s="288">
        <v>3</v>
      </c>
      <c r="J10" s="81">
        <v>7</v>
      </c>
      <c r="K10" s="81">
        <v>6</v>
      </c>
    </row>
    <row r="11" spans="1:11" ht="12.75">
      <c r="A11" s="279">
        <v>4</v>
      </c>
      <c r="B11" s="286">
        <v>176</v>
      </c>
      <c r="C11" s="286" t="s">
        <v>560</v>
      </c>
      <c r="D11" s="286" t="s">
        <v>1088</v>
      </c>
      <c r="E11" s="286" t="s">
        <v>1089</v>
      </c>
      <c r="F11" s="287">
        <v>26</v>
      </c>
      <c r="G11" s="288">
        <v>4</v>
      </c>
      <c r="H11" s="288">
        <v>5</v>
      </c>
      <c r="I11" s="288">
        <v>7</v>
      </c>
      <c r="J11" s="81">
        <v>5</v>
      </c>
      <c r="K11" s="81">
        <v>5</v>
      </c>
    </row>
    <row r="12" spans="1:11" ht="12.75">
      <c r="A12" s="279">
        <v>5</v>
      </c>
      <c r="B12" s="286">
        <v>206</v>
      </c>
      <c r="C12" s="286" t="s">
        <v>1091</v>
      </c>
      <c r="D12" s="286" t="s">
        <v>1092</v>
      </c>
      <c r="E12" s="286" t="s">
        <v>1093</v>
      </c>
      <c r="F12" s="287">
        <v>30</v>
      </c>
      <c r="G12" s="288">
        <v>7</v>
      </c>
      <c r="H12" s="288">
        <v>7</v>
      </c>
      <c r="I12" s="288">
        <v>5</v>
      </c>
      <c r="J12" s="81">
        <v>9</v>
      </c>
      <c r="K12" s="81">
        <v>2</v>
      </c>
    </row>
    <row r="13" spans="1:11" ht="12.75">
      <c r="A13" s="279">
        <v>6</v>
      </c>
      <c r="B13" s="286">
        <v>70</v>
      </c>
      <c r="C13" s="286" t="s">
        <v>563</v>
      </c>
      <c r="D13" s="286" t="s">
        <v>508</v>
      </c>
      <c r="E13" s="286" t="s">
        <v>1094</v>
      </c>
      <c r="F13" s="287">
        <v>34.8</v>
      </c>
      <c r="G13" s="288">
        <v>8</v>
      </c>
      <c r="H13" s="288">
        <v>11</v>
      </c>
      <c r="I13" s="288">
        <v>4</v>
      </c>
      <c r="J13" s="81" t="s">
        <v>1101</v>
      </c>
      <c r="K13" s="81">
        <v>4</v>
      </c>
    </row>
    <row r="14" spans="1:11" ht="12.75">
      <c r="A14" s="279">
        <v>7</v>
      </c>
      <c r="B14" s="286">
        <v>228</v>
      </c>
      <c r="C14" s="286" t="s">
        <v>1098</v>
      </c>
      <c r="D14" s="286" t="s">
        <v>1099</v>
      </c>
      <c r="E14" s="286" t="s">
        <v>1093</v>
      </c>
      <c r="F14" s="287">
        <v>45</v>
      </c>
      <c r="G14" s="288">
        <v>11</v>
      </c>
      <c r="H14" s="288">
        <v>8</v>
      </c>
      <c r="I14" s="288">
        <v>11</v>
      </c>
      <c r="J14" s="81">
        <v>6</v>
      </c>
      <c r="K14" s="81">
        <v>9</v>
      </c>
    </row>
    <row r="15" spans="1:11" ht="12.75">
      <c r="A15" s="279">
        <v>8</v>
      </c>
      <c r="B15" s="286">
        <v>197</v>
      </c>
      <c r="C15" s="286"/>
      <c r="D15" s="286" t="s">
        <v>509</v>
      </c>
      <c r="E15" s="286" t="s">
        <v>356</v>
      </c>
      <c r="F15" s="287">
        <v>46</v>
      </c>
      <c r="G15" s="288">
        <v>6</v>
      </c>
      <c r="H15" s="288">
        <v>9</v>
      </c>
      <c r="I15" s="288">
        <v>10</v>
      </c>
      <c r="J15" s="81">
        <v>10</v>
      </c>
      <c r="K15" s="81">
        <v>11</v>
      </c>
    </row>
    <row r="16" spans="1:11" ht="12.75">
      <c r="A16" s="279">
        <v>9</v>
      </c>
      <c r="B16" s="286">
        <v>117</v>
      </c>
      <c r="C16" s="286" t="s">
        <v>562</v>
      </c>
      <c r="D16" s="286" t="s">
        <v>1090</v>
      </c>
      <c r="E16" s="286" t="s">
        <v>1086</v>
      </c>
      <c r="F16" s="287">
        <v>49</v>
      </c>
      <c r="G16" s="288">
        <v>3</v>
      </c>
      <c r="H16" s="288">
        <v>10</v>
      </c>
      <c r="I16" s="288">
        <v>6</v>
      </c>
      <c r="J16" s="81" t="s">
        <v>1102</v>
      </c>
      <c r="K16" s="81" t="s">
        <v>1102</v>
      </c>
    </row>
    <row r="17" spans="1:11" ht="12.75">
      <c r="A17" s="279">
        <v>10</v>
      </c>
      <c r="B17" s="286">
        <v>54</v>
      </c>
      <c r="C17" s="286"/>
      <c r="D17" s="286" t="s">
        <v>1100</v>
      </c>
      <c r="E17" s="286" t="s">
        <v>1093</v>
      </c>
      <c r="F17" s="287">
        <v>49</v>
      </c>
      <c r="G17" s="288">
        <v>12</v>
      </c>
      <c r="H17" s="288">
        <v>6</v>
      </c>
      <c r="I17" s="288" t="s">
        <v>1102</v>
      </c>
      <c r="J17" s="81">
        <v>8</v>
      </c>
      <c r="K17" s="81">
        <v>8</v>
      </c>
    </row>
    <row r="18" spans="1:11" ht="12.75">
      <c r="A18" s="279">
        <v>11</v>
      </c>
      <c r="B18" s="286">
        <v>106</v>
      </c>
      <c r="C18" s="286" t="s">
        <v>557</v>
      </c>
      <c r="D18" s="286" t="s">
        <v>1096</v>
      </c>
      <c r="E18" s="286" t="s">
        <v>1097</v>
      </c>
      <c r="F18" s="287">
        <v>50</v>
      </c>
      <c r="G18" s="288">
        <v>9</v>
      </c>
      <c r="H18" s="288">
        <v>12</v>
      </c>
      <c r="I18" s="288">
        <v>8</v>
      </c>
      <c r="J18" s="81">
        <v>11</v>
      </c>
      <c r="K18" s="81">
        <v>10</v>
      </c>
    </row>
    <row r="19" spans="1:11" ht="12.75">
      <c r="A19" s="279">
        <v>12</v>
      </c>
      <c r="B19" s="286">
        <v>142</v>
      </c>
      <c r="C19" s="286" t="s">
        <v>1095</v>
      </c>
      <c r="D19" s="286" t="s">
        <v>507</v>
      </c>
      <c r="E19" s="286" t="s">
        <v>1093</v>
      </c>
      <c r="F19" s="287">
        <v>53</v>
      </c>
      <c r="G19" s="288">
        <v>10</v>
      </c>
      <c r="H19" s="288">
        <v>4</v>
      </c>
      <c r="I19" s="288">
        <v>9</v>
      </c>
      <c r="J19" s="81" t="s">
        <v>1102</v>
      </c>
      <c r="K19" s="81" t="s">
        <v>1102</v>
      </c>
    </row>
    <row r="20" spans="1:11" ht="12.75">
      <c r="A20" s="279">
        <v>13</v>
      </c>
      <c r="B20" s="286">
        <v>41</v>
      </c>
      <c r="C20" s="286" t="s">
        <v>585</v>
      </c>
      <c r="D20" s="286" t="s">
        <v>537</v>
      </c>
      <c r="E20" s="286" t="s">
        <v>1086</v>
      </c>
      <c r="F20" s="287">
        <v>56</v>
      </c>
      <c r="G20" s="288" t="s">
        <v>1102</v>
      </c>
      <c r="H20" s="288" t="s">
        <v>1102</v>
      </c>
      <c r="I20" s="288" t="s">
        <v>1102</v>
      </c>
      <c r="J20" s="81">
        <v>4</v>
      </c>
      <c r="K20" s="81">
        <v>7</v>
      </c>
    </row>
    <row r="21" spans="1:11" ht="12.75">
      <c r="A21" s="279">
        <v>14</v>
      </c>
      <c r="B21" s="289">
        <v>5</v>
      </c>
      <c r="C21" s="289"/>
      <c r="D21" s="289" t="s">
        <v>512</v>
      </c>
      <c r="E21" s="289" t="s">
        <v>1086</v>
      </c>
      <c r="F21" s="290">
        <v>72</v>
      </c>
      <c r="G21" s="291" t="s">
        <v>1102</v>
      </c>
      <c r="H21" s="291" t="s">
        <v>1102</v>
      </c>
      <c r="I21" s="291" t="s">
        <v>1102</v>
      </c>
      <c r="J21" s="83">
        <v>12</v>
      </c>
      <c r="K21" s="83" t="s">
        <v>1103</v>
      </c>
    </row>
    <row r="24" ht="12.75">
      <c r="B24" s="280" t="s">
        <v>424</v>
      </c>
    </row>
    <row r="25" ht="12.75">
      <c r="B25" s="282" t="s">
        <v>1109</v>
      </c>
    </row>
    <row r="27" spans="2:4" ht="12.75">
      <c r="B27" s="292" t="s">
        <v>215</v>
      </c>
      <c r="C27" s="292" t="s">
        <v>1107</v>
      </c>
      <c r="D27" s="292"/>
    </row>
    <row r="28" spans="2:4" ht="12.75">
      <c r="B28" s="292" t="s">
        <v>1106</v>
      </c>
      <c r="C28" s="292" t="s">
        <v>1108</v>
      </c>
      <c r="D28" s="292"/>
    </row>
  </sheetData>
  <sheetProtection/>
  <hyperlinks>
    <hyperlink ref="B25" r:id="rId1" display="http://www.sailingworld.com/article.jsp?ID=44015&amp;typeID=403&amp;catID=604&amp;exclude=NOOD"/>
  </hyperlinks>
  <printOptions/>
  <pageMargins left="0.75" right="0.75" top="1" bottom="1" header="0.5" footer="0.5"/>
  <pageSetup horizontalDpi="600" verticalDpi="600" orientation="portrait" r:id="rId2"/>
</worksheet>
</file>

<file path=xl/worksheets/sheet25.xml><?xml version="1.0" encoding="utf-8"?>
<worksheet xmlns="http://schemas.openxmlformats.org/spreadsheetml/2006/main" xmlns:r="http://schemas.openxmlformats.org/officeDocument/2006/relationships">
  <sheetPr codeName="Sheet45"/>
  <dimension ref="B2:J19"/>
  <sheetViews>
    <sheetView zoomScalePageLayoutView="0" workbookViewId="0" topLeftCell="A1">
      <selection activeCell="D32" sqref="D32"/>
    </sheetView>
  </sheetViews>
  <sheetFormatPr defaultColWidth="9.140625" defaultRowHeight="12.75"/>
  <cols>
    <col min="1" max="1" width="4.140625" style="27" customWidth="1"/>
    <col min="2" max="3" width="9.140625" style="27" customWidth="1"/>
    <col min="4" max="4" width="24.00390625" style="27" bestFit="1" customWidth="1"/>
    <col min="5" max="5" width="8.8515625" style="24" bestFit="1" customWidth="1"/>
    <col min="6" max="10" width="7.140625" style="27" customWidth="1"/>
    <col min="11" max="16384" width="9.140625" style="27" customWidth="1"/>
  </cols>
  <sheetData>
    <row r="2" spans="2:3" ht="15.75">
      <c r="B2" s="21" t="s">
        <v>473</v>
      </c>
      <c r="C2" s="3"/>
    </row>
    <row r="3" spans="2:3" ht="12.75">
      <c r="B3" s="70" t="s">
        <v>452</v>
      </c>
      <c r="C3" s="3"/>
    </row>
    <row r="4" ht="11.25">
      <c r="B4" s="54" t="s">
        <v>1117</v>
      </c>
    </row>
    <row r="5" ht="11.25">
      <c r="B5" s="54" t="s">
        <v>484</v>
      </c>
    </row>
    <row r="7" spans="2:10" ht="11.25">
      <c r="B7" s="72" t="s">
        <v>663</v>
      </c>
      <c r="C7" s="72"/>
      <c r="D7" s="72"/>
      <c r="E7" s="99"/>
      <c r="F7" s="72"/>
      <c r="G7" s="72"/>
      <c r="H7" s="72"/>
      <c r="I7" s="72"/>
      <c r="J7" s="72"/>
    </row>
    <row r="8" spans="2:10" ht="11.25">
      <c r="B8" s="72"/>
      <c r="C8" s="72"/>
      <c r="D8" s="72"/>
      <c r="E8" s="99"/>
      <c r="F8" s="72"/>
      <c r="G8" s="72"/>
      <c r="H8" s="72"/>
      <c r="I8" s="72"/>
      <c r="J8" s="72"/>
    </row>
    <row r="9" spans="2:10" ht="11.25">
      <c r="B9" s="84"/>
      <c r="C9" s="84" t="s">
        <v>451</v>
      </c>
      <c r="D9" s="84" t="s">
        <v>353</v>
      </c>
      <c r="E9" s="84" t="s">
        <v>456</v>
      </c>
      <c r="F9" s="84" t="s">
        <v>294</v>
      </c>
      <c r="G9" s="84" t="s">
        <v>291</v>
      </c>
      <c r="H9" s="84" t="s">
        <v>292</v>
      </c>
      <c r="I9" s="84" t="s">
        <v>293</v>
      </c>
      <c r="J9" s="84" t="s">
        <v>302</v>
      </c>
    </row>
    <row r="10" spans="2:10" ht="11.25">
      <c r="B10" s="38">
        <v>1</v>
      </c>
      <c r="C10" s="38">
        <v>23</v>
      </c>
      <c r="D10" s="98" t="s">
        <v>573</v>
      </c>
      <c r="E10" s="40" t="s">
        <v>313</v>
      </c>
      <c r="F10" s="38">
        <v>11</v>
      </c>
      <c r="G10" s="38">
        <v>1</v>
      </c>
      <c r="H10" s="38">
        <v>1</v>
      </c>
      <c r="I10" s="38">
        <v>4</v>
      </c>
      <c r="J10" s="38">
        <v>5</v>
      </c>
    </row>
    <row r="11" spans="2:10" ht="11.25">
      <c r="B11" s="40">
        <v>2</v>
      </c>
      <c r="C11" s="40">
        <v>70</v>
      </c>
      <c r="D11" s="73" t="s">
        <v>396</v>
      </c>
      <c r="E11" s="40" t="s">
        <v>313</v>
      </c>
      <c r="F11" s="40">
        <v>12</v>
      </c>
      <c r="G11" s="40">
        <v>3</v>
      </c>
      <c r="H11" s="40">
        <v>2</v>
      </c>
      <c r="I11" s="40">
        <v>3</v>
      </c>
      <c r="J11" s="40">
        <v>4</v>
      </c>
    </row>
    <row r="12" spans="2:10" ht="11.25">
      <c r="B12" s="40">
        <v>3</v>
      </c>
      <c r="C12" s="40">
        <v>54</v>
      </c>
      <c r="D12" s="73" t="s">
        <v>386</v>
      </c>
      <c r="E12" s="40" t="s">
        <v>313</v>
      </c>
      <c r="F12" s="40">
        <v>14</v>
      </c>
      <c r="G12" s="40">
        <v>2</v>
      </c>
      <c r="H12" s="40">
        <v>3</v>
      </c>
      <c r="I12" s="40">
        <v>6</v>
      </c>
      <c r="J12" s="40">
        <v>3</v>
      </c>
    </row>
    <row r="13" spans="2:10" ht="11.25">
      <c r="B13" s="40">
        <v>4</v>
      </c>
      <c r="C13" s="40">
        <v>41</v>
      </c>
      <c r="D13" s="73" t="s">
        <v>398</v>
      </c>
      <c r="E13" s="40" t="s">
        <v>313</v>
      </c>
      <c r="F13" s="40">
        <v>15</v>
      </c>
      <c r="G13" s="40">
        <v>4</v>
      </c>
      <c r="H13" s="40">
        <v>4</v>
      </c>
      <c r="I13" s="40">
        <v>5</v>
      </c>
      <c r="J13" s="40">
        <v>2</v>
      </c>
    </row>
    <row r="14" spans="2:10" ht="11.25">
      <c r="B14" s="40">
        <v>5</v>
      </c>
      <c r="C14" s="40">
        <v>176</v>
      </c>
      <c r="D14" s="73" t="s">
        <v>1118</v>
      </c>
      <c r="E14" s="40" t="s">
        <v>313</v>
      </c>
      <c r="F14" s="40">
        <v>16</v>
      </c>
      <c r="G14" s="40" t="s">
        <v>361</v>
      </c>
      <c r="H14" s="40" t="s">
        <v>361</v>
      </c>
      <c r="I14" s="40">
        <v>1</v>
      </c>
      <c r="J14" s="40">
        <v>1</v>
      </c>
    </row>
    <row r="15" spans="2:10" ht="11.25">
      <c r="B15" s="50">
        <v>6</v>
      </c>
      <c r="C15" s="50">
        <v>142</v>
      </c>
      <c r="D15" s="60" t="s">
        <v>507</v>
      </c>
      <c r="E15" s="50" t="s">
        <v>313</v>
      </c>
      <c r="F15" s="50">
        <v>22</v>
      </c>
      <c r="G15" s="50" t="s">
        <v>361</v>
      </c>
      <c r="H15" s="50" t="s">
        <v>361</v>
      </c>
      <c r="I15" s="50">
        <v>2</v>
      </c>
      <c r="J15" s="50">
        <v>6</v>
      </c>
    </row>
    <row r="16" spans="2:10" ht="12" customHeight="1">
      <c r="B16" s="66"/>
      <c r="C16" s="66"/>
      <c r="D16" s="66"/>
      <c r="E16" s="66"/>
      <c r="F16" s="66"/>
      <c r="G16" s="66"/>
      <c r="H16" s="66"/>
      <c r="I16" s="66"/>
      <c r="J16" s="66"/>
    </row>
    <row r="18" ht="11.25">
      <c r="B18" s="27" t="s">
        <v>424</v>
      </c>
    </row>
    <row r="19" ht="11.25">
      <c r="B19" s="295" t="s">
        <v>1119</v>
      </c>
    </row>
  </sheetData>
  <sheetProtection/>
  <hyperlinks>
    <hyperlink ref="B19" r:id="rId1" display="http://www.larchmontyc.org/racing/documents/ColumbusDayYRA_ColumbusDayResults.pdf"/>
  </hyperlinks>
  <printOptions/>
  <pageMargins left="0.75" right="0.75" top="1" bottom="1" header="0.5" footer="0.5"/>
  <pageSetup horizontalDpi="600" verticalDpi="600" orientation="portrait" r:id="rId2"/>
</worksheet>
</file>

<file path=xl/worksheets/sheet26.xml><?xml version="1.0" encoding="utf-8"?>
<worksheet xmlns="http://schemas.openxmlformats.org/spreadsheetml/2006/main" xmlns:r="http://schemas.openxmlformats.org/officeDocument/2006/relationships">
  <sheetPr codeName="Sheet46"/>
  <dimension ref="A2:N38"/>
  <sheetViews>
    <sheetView zoomScalePageLayoutView="0" workbookViewId="0" topLeftCell="A1">
      <selection activeCell="D32" sqref="D32"/>
    </sheetView>
  </sheetViews>
  <sheetFormatPr defaultColWidth="9.140625" defaultRowHeight="12.75"/>
  <cols>
    <col min="1" max="1" width="4.57421875" style="27" customWidth="1"/>
    <col min="2" max="2" width="4.7109375" style="24" customWidth="1"/>
    <col min="3" max="3" width="38.140625" style="27" customWidth="1"/>
    <col min="4" max="4" width="5.140625" style="24" bestFit="1" customWidth="1"/>
    <col min="5" max="5" width="7.421875" style="24" customWidth="1"/>
    <col min="6" max="6" width="12.57421875" style="27" bestFit="1" customWidth="1"/>
    <col min="7" max="11" width="6.7109375" style="27" customWidth="1"/>
    <col min="12" max="16384" width="9.140625" style="27" customWidth="1"/>
  </cols>
  <sheetData>
    <row r="2" spans="3:11" ht="15.75">
      <c r="C2" s="71" t="s">
        <v>826</v>
      </c>
      <c r="D2" s="47"/>
      <c r="E2" s="47"/>
      <c r="F2" s="24"/>
      <c r="G2" s="24"/>
      <c r="H2" s="26"/>
      <c r="I2" s="24"/>
      <c r="J2" s="24"/>
      <c r="K2" s="24"/>
    </row>
    <row r="3" spans="3:11" ht="11.25">
      <c r="C3" s="27" t="s">
        <v>1122</v>
      </c>
      <c r="D3" s="47"/>
      <c r="E3" s="47"/>
      <c r="F3" s="24"/>
      <c r="G3" s="24"/>
      <c r="H3" s="26"/>
      <c r="I3" s="24"/>
      <c r="J3" s="24"/>
      <c r="K3" s="24"/>
    </row>
    <row r="4" spans="6:11" ht="11.25">
      <c r="F4" s="24"/>
      <c r="G4" s="24"/>
      <c r="H4" s="26"/>
      <c r="I4" s="24"/>
      <c r="J4" s="24"/>
      <c r="K4" s="24"/>
    </row>
    <row r="5" spans="2:14" ht="11.25">
      <c r="B5" s="100"/>
      <c r="C5" s="90"/>
      <c r="D5" s="91">
        <f>COUNT(G5:K5)</f>
        <v>5</v>
      </c>
      <c r="E5" s="91"/>
      <c r="F5" s="258" t="s">
        <v>187</v>
      </c>
      <c r="G5" s="91">
        <v>8</v>
      </c>
      <c r="H5" s="91">
        <v>10</v>
      </c>
      <c r="I5" s="91">
        <v>15</v>
      </c>
      <c r="J5" s="91">
        <v>8</v>
      </c>
      <c r="K5" s="91">
        <v>6</v>
      </c>
      <c r="L5" s="76"/>
      <c r="M5" s="150"/>
      <c r="N5" s="150"/>
    </row>
    <row r="6" spans="2:14" ht="11.25">
      <c r="B6" s="84" t="s">
        <v>451</v>
      </c>
      <c r="C6" s="85" t="s">
        <v>422</v>
      </c>
      <c r="D6" s="85" t="s">
        <v>188</v>
      </c>
      <c r="E6" s="85" t="s">
        <v>189</v>
      </c>
      <c r="F6" s="86" t="s">
        <v>190</v>
      </c>
      <c r="G6" s="87" t="s">
        <v>281</v>
      </c>
      <c r="H6" s="87" t="s">
        <v>282</v>
      </c>
      <c r="I6" s="87" t="s">
        <v>283</v>
      </c>
      <c r="J6" s="87" t="s">
        <v>284</v>
      </c>
      <c r="K6" s="87" t="s">
        <v>285</v>
      </c>
      <c r="L6" s="76"/>
      <c r="M6" s="150"/>
      <c r="N6" s="150"/>
    </row>
    <row r="7" spans="1:14" ht="11.25">
      <c r="A7" s="27">
        <v>1</v>
      </c>
      <c r="B7" s="91">
        <v>25</v>
      </c>
      <c r="C7" s="131" t="str">
        <f>VLOOKUP(B7,'2006Season'!$C$11:$D$30,2,FALSE)</f>
        <v>Fred Werblow</v>
      </c>
      <c r="D7" s="91">
        <f aca="true" t="shared" si="0" ref="D7:D20">COUNT(G7:K7)</f>
        <v>4</v>
      </c>
      <c r="E7" s="91">
        <f aca="true" t="shared" si="1" ref="E7:E20">IF(D7&gt;3,1,0)</f>
        <v>1</v>
      </c>
      <c r="F7" s="296">
        <f aca="true" t="shared" si="2" ref="F7:F20">C_S_G(G7:K7,G$5:K$5,csg_table,D$5,E7)</f>
        <v>1</v>
      </c>
      <c r="G7" s="297">
        <v>1</v>
      </c>
      <c r="H7" s="297">
        <v>3</v>
      </c>
      <c r="I7" s="297">
        <v>1</v>
      </c>
      <c r="J7" s="297">
        <v>1</v>
      </c>
      <c r="K7" s="297"/>
      <c r="L7" s="76"/>
      <c r="M7" s="66"/>
      <c r="N7" s="66"/>
    </row>
    <row r="8" spans="1:14" ht="11.25">
      <c r="A8" s="27">
        <v>2</v>
      </c>
      <c r="B8" s="81">
        <v>23</v>
      </c>
      <c r="C8" s="93" t="str">
        <f>VLOOKUP(B8,'2006Season'!$C$11:$D$30,2,FALSE)</f>
        <v>Com Crocker/ Kurt Weisenfluh</v>
      </c>
      <c r="D8" s="81">
        <f t="shared" si="0"/>
        <v>4</v>
      </c>
      <c r="E8" s="81">
        <f t="shared" si="1"/>
        <v>1</v>
      </c>
      <c r="F8" s="256">
        <f t="shared" si="2"/>
        <v>0.9316239316239316</v>
      </c>
      <c r="G8" s="89">
        <v>4</v>
      </c>
      <c r="H8" s="89">
        <v>2</v>
      </c>
      <c r="I8" s="89">
        <v>3</v>
      </c>
      <c r="J8" s="89"/>
      <c r="K8" s="89">
        <v>1</v>
      </c>
      <c r="L8" s="76"/>
      <c r="M8" s="66"/>
      <c r="N8" s="66"/>
    </row>
    <row r="9" spans="1:14" ht="11.25">
      <c r="A9" s="27">
        <v>3</v>
      </c>
      <c r="B9" s="81">
        <v>26</v>
      </c>
      <c r="C9" s="93" t="str">
        <f>VLOOKUP(B9,'2006Season'!$C$11:$D$30,2,FALSE)</f>
        <v>Kevin Hynes / Tom Gallagher</v>
      </c>
      <c r="D9" s="81">
        <f t="shared" si="0"/>
        <v>3</v>
      </c>
      <c r="E9" s="81">
        <f t="shared" si="1"/>
        <v>0</v>
      </c>
      <c r="F9" s="256">
        <f t="shared" si="2"/>
        <v>0.8699186991869918</v>
      </c>
      <c r="G9" s="89">
        <v>3</v>
      </c>
      <c r="H9" s="89">
        <v>1</v>
      </c>
      <c r="I9" s="89">
        <v>7</v>
      </c>
      <c r="J9" s="89"/>
      <c r="K9" s="89"/>
      <c r="L9" s="76"/>
      <c r="M9" s="66"/>
      <c r="N9" s="66"/>
    </row>
    <row r="10" spans="1:14" ht="11.25">
      <c r="A10" s="27">
        <v>4</v>
      </c>
      <c r="B10" s="81">
        <v>221</v>
      </c>
      <c r="C10" s="93" t="str">
        <f>VLOOKUP(B10,'2006Season'!$C$11:$D$30,2,FALSE)</f>
        <v>Michael Carr</v>
      </c>
      <c r="D10" s="81">
        <f t="shared" si="0"/>
        <v>4</v>
      </c>
      <c r="E10" s="81">
        <f t="shared" si="1"/>
        <v>1</v>
      </c>
      <c r="F10" s="256">
        <f t="shared" si="2"/>
        <v>0.8613445378151261</v>
      </c>
      <c r="G10" s="89">
        <v>2</v>
      </c>
      <c r="H10" s="89">
        <v>5</v>
      </c>
      <c r="I10" s="89">
        <v>5</v>
      </c>
      <c r="J10" s="89">
        <v>3</v>
      </c>
      <c r="K10" s="89"/>
      <c r="L10" s="76"/>
      <c r="M10" s="66"/>
      <c r="N10" s="66"/>
    </row>
    <row r="11" spans="1:14" ht="11.25">
      <c r="A11" s="27">
        <v>5</v>
      </c>
      <c r="B11" s="81">
        <v>176</v>
      </c>
      <c r="C11" s="93" t="str">
        <f>VLOOKUP(B11,'2006Season'!$C$11:$D$30,2,FALSE)</f>
        <v>Greg Takata / Doug Campbell / Andrew Wertheim</v>
      </c>
      <c r="D11" s="81">
        <f t="shared" si="0"/>
        <v>4</v>
      </c>
      <c r="E11" s="81">
        <f t="shared" si="1"/>
        <v>1</v>
      </c>
      <c r="F11" s="256">
        <f t="shared" si="2"/>
        <v>0.7830188679245284</v>
      </c>
      <c r="G11" s="89"/>
      <c r="H11" s="89">
        <v>4</v>
      </c>
      <c r="I11" s="89">
        <v>11</v>
      </c>
      <c r="J11" s="89">
        <v>5</v>
      </c>
      <c r="K11" s="89">
        <v>5</v>
      </c>
      <c r="L11" s="76"/>
      <c r="M11" s="66"/>
      <c r="N11" s="66"/>
    </row>
    <row r="12" spans="1:14" ht="11.25">
      <c r="A12" s="27">
        <v>6</v>
      </c>
      <c r="B12" s="81">
        <v>70</v>
      </c>
      <c r="C12" s="93" t="str">
        <f>VLOOKUP(B12,'2006Season'!$C$11:$D$30,2,FALSE)</f>
        <v>Roland Schulz /  Berenice &amp; Alexandre deCirfontaine</v>
      </c>
      <c r="D12" s="81">
        <f t="shared" si="0"/>
        <v>3</v>
      </c>
      <c r="E12" s="81">
        <f t="shared" si="1"/>
        <v>0</v>
      </c>
      <c r="F12" s="256">
        <f t="shared" si="2"/>
        <v>0.7521367521367521</v>
      </c>
      <c r="G12" s="89"/>
      <c r="H12" s="89">
        <v>8</v>
      </c>
      <c r="I12" s="89">
        <v>10</v>
      </c>
      <c r="J12" s="89"/>
      <c r="K12" s="89">
        <v>2</v>
      </c>
      <c r="L12" s="76"/>
      <c r="M12" s="66"/>
      <c r="N12" s="66"/>
    </row>
    <row r="13" spans="1:14" ht="11.25">
      <c r="A13" s="27">
        <v>7</v>
      </c>
      <c r="B13" s="81">
        <v>41</v>
      </c>
      <c r="C13" s="93" t="str">
        <f>VLOOKUP(B13,'2006Season'!$C$11:$D$30,2,FALSE)</f>
        <v>Tim Sawyer</v>
      </c>
      <c r="D13" s="81">
        <f t="shared" si="0"/>
        <v>3</v>
      </c>
      <c r="E13" s="81">
        <f t="shared" si="1"/>
        <v>0</v>
      </c>
      <c r="F13" s="256">
        <f t="shared" si="2"/>
        <v>0.7433628318584071</v>
      </c>
      <c r="G13" s="89">
        <v>6</v>
      </c>
      <c r="H13" s="89"/>
      <c r="I13" s="89">
        <v>8</v>
      </c>
      <c r="J13" s="89"/>
      <c r="K13" s="89">
        <v>4</v>
      </c>
      <c r="L13" s="76"/>
      <c r="M13" s="66"/>
      <c r="N13" s="66"/>
    </row>
    <row r="14" spans="1:14" ht="11.25">
      <c r="A14" s="27">
        <v>8</v>
      </c>
      <c r="B14" s="81">
        <v>142</v>
      </c>
      <c r="C14" s="93" t="str">
        <f>VLOOKUP(B14,'2006Season'!$C$11:$D$30,2,FALSE)</f>
        <v>Justin Gibbons / Phillips Johnston</v>
      </c>
      <c r="D14" s="81">
        <f t="shared" si="0"/>
        <v>5</v>
      </c>
      <c r="E14" s="81">
        <f t="shared" si="1"/>
        <v>1</v>
      </c>
      <c r="F14" s="256">
        <f t="shared" si="2"/>
        <v>0.7358490566037735</v>
      </c>
      <c r="G14" s="89">
        <v>7</v>
      </c>
      <c r="H14" s="89">
        <v>6</v>
      </c>
      <c r="I14" s="89">
        <v>6</v>
      </c>
      <c r="J14" s="89">
        <v>7</v>
      </c>
      <c r="K14" s="89">
        <v>6</v>
      </c>
      <c r="L14" s="76"/>
      <c r="M14" s="66"/>
      <c r="N14" s="66"/>
    </row>
    <row r="15" spans="1:14" ht="11.25">
      <c r="A15" s="27">
        <v>9</v>
      </c>
      <c r="B15" s="81">
        <v>117</v>
      </c>
      <c r="C15" s="93" t="str">
        <f>VLOOKUP(B15,'2006Season'!$C$11:$D$30,2,FALSE)</f>
        <v>Michael Katz / Bill Gollner</v>
      </c>
      <c r="D15" s="81">
        <f t="shared" si="0"/>
        <v>4</v>
      </c>
      <c r="E15" s="81">
        <f t="shared" si="1"/>
        <v>1</v>
      </c>
      <c r="F15" s="256">
        <f t="shared" si="2"/>
        <v>0.71875</v>
      </c>
      <c r="G15" s="89">
        <v>5</v>
      </c>
      <c r="H15" s="89">
        <v>9</v>
      </c>
      <c r="I15" s="89">
        <v>13</v>
      </c>
      <c r="J15" s="89">
        <v>6</v>
      </c>
      <c r="K15" s="89"/>
      <c r="L15" s="76"/>
      <c r="M15" s="66"/>
      <c r="N15" s="66"/>
    </row>
    <row r="16" spans="1:14" ht="11.25">
      <c r="A16" s="27">
        <v>10</v>
      </c>
      <c r="B16" s="83">
        <v>38</v>
      </c>
      <c r="C16" s="94" t="str">
        <f>VLOOKUP(B16,'2006Season'!$C$11:$D$30,2,FALSE)</f>
        <v>Jean Pierre Jabart / Alain Concher</v>
      </c>
      <c r="D16" s="83">
        <f t="shared" si="0"/>
        <v>3</v>
      </c>
      <c r="E16" s="83">
        <f t="shared" si="1"/>
        <v>0</v>
      </c>
      <c r="F16" s="257">
        <f t="shared" si="2"/>
        <v>0.6470588235294118</v>
      </c>
      <c r="G16" s="96">
        <v>8</v>
      </c>
      <c r="H16" s="96"/>
      <c r="I16" s="96">
        <v>15</v>
      </c>
      <c r="J16" s="96">
        <v>8</v>
      </c>
      <c r="K16" s="96"/>
      <c r="L16" s="76"/>
      <c r="M16" s="66"/>
      <c r="N16" s="66"/>
    </row>
    <row r="17" spans="1:14" ht="11.25">
      <c r="A17" s="247" t="s">
        <v>215</v>
      </c>
      <c r="B17" s="81">
        <v>5</v>
      </c>
      <c r="C17" s="93" t="str">
        <f>VLOOKUP(B17,'2006Season'!$C$11:$D$30,2,FALSE)</f>
        <v>Pierre Albouy / V Leonard</v>
      </c>
      <c r="D17" s="81">
        <f t="shared" si="0"/>
        <v>2</v>
      </c>
      <c r="E17" s="81">
        <f t="shared" si="1"/>
        <v>0</v>
      </c>
      <c r="F17" s="256">
        <f t="shared" si="2"/>
        <v>0.6379310344827587</v>
      </c>
      <c r="G17" s="89"/>
      <c r="H17" s="89">
        <v>10</v>
      </c>
      <c r="I17" s="89">
        <v>14</v>
      </c>
      <c r="J17" s="89"/>
      <c r="K17" s="89"/>
      <c r="L17" s="76"/>
      <c r="M17" s="66"/>
      <c r="N17" s="66"/>
    </row>
    <row r="18" spans="1:14" ht="11.25">
      <c r="A18" s="247" t="s">
        <v>215</v>
      </c>
      <c r="B18" s="81">
        <v>106</v>
      </c>
      <c r="C18" s="93" t="str">
        <f>VLOOKUP(B18,'2006Season'!$C$11:$D$30,2,FALSE)</f>
        <v>John Mawe</v>
      </c>
      <c r="D18" s="81">
        <f t="shared" si="0"/>
        <v>2</v>
      </c>
      <c r="E18" s="81">
        <f t="shared" si="1"/>
        <v>0</v>
      </c>
      <c r="F18" s="256">
        <f t="shared" si="2"/>
        <v>0.6896551724137931</v>
      </c>
      <c r="G18" s="89"/>
      <c r="H18" s="89">
        <v>7</v>
      </c>
      <c r="I18" s="89">
        <v>12</v>
      </c>
      <c r="J18" s="89"/>
      <c r="K18" s="89"/>
      <c r="L18" s="76"/>
      <c r="M18" s="66"/>
      <c r="N18" s="66"/>
    </row>
    <row r="19" spans="1:14" ht="11.25">
      <c r="A19" s="247" t="s">
        <v>215</v>
      </c>
      <c r="B19" s="81">
        <v>182</v>
      </c>
      <c r="C19" s="93" t="str">
        <f>VLOOKUP(B19,'2006Season'!$C$11:$D$30,2,FALSE)</f>
        <v>Skip McGuire</v>
      </c>
      <c r="D19" s="81">
        <f t="shared" si="0"/>
        <v>2</v>
      </c>
      <c r="E19" s="81">
        <f t="shared" si="1"/>
        <v>0</v>
      </c>
      <c r="F19" s="256">
        <f t="shared" si="2"/>
        <v>0.8795180722891566</v>
      </c>
      <c r="G19" s="89"/>
      <c r="H19" s="89"/>
      <c r="I19" s="89">
        <v>4</v>
      </c>
      <c r="J19" s="89">
        <v>2</v>
      </c>
      <c r="K19" s="89"/>
      <c r="L19" s="76"/>
      <c r="M19" s="66"/>
      <c r="N19" s="66"/>
    </row>
    <row r="20" spans="1:14" ht="11.25">
      <c r="A20" s="247" t="s">
        <v>215</v>
      </c>
      <c r="B20" s="83">
        <v>231</v>
      </c>
      <c r="C20" s="94" t="str">
        <f>VLOOKUP(B20,'2006Season'!$C$11:$D$30,2,FALSE)</f>
        <v>HL DeVore</v>
      </c>
      <c r="D20" s="83">
        <f t="shared" si="0"/>
        <v>1</v>
      </c>
      <c r="E20" s="83">
        <f t="shared" si="1"/>
        <v>0</v>
      </c>
      <c r="F20" s="257">
        <f t="shared" si="2"/>
        <v>0.9361702127659575</v>
      </c>
      <c r="G20" s="96"/>
      <c r="H20" s="96"/>
      <c r="I20" s="96">
        <v>2</v>
      </c>
      <c r="J20" s="96"/>
      <c r="K20" s="96"/>
      <c r="L20" s="76"/>
      <c r="M20" s="66"/>
      <c r="N20" s="66"/>
    </row>
    <row r="21" spans="3:11" ht="11.25">
      <c r="C21" s="23"/>
      <c r="D21" s="66"/>
      <c r="E21" s="66"/>
      <c r="F21" s="68"/>
      <c r="G21" s="69"/>
      <c r="H21" s="69"/>
      <c r="I21" s="69"/>
      <c r="J21" s="69"/>
      <c r="K21" s="69"/>
    </row>
    <row r="22" ht="11.25">
      <c r="C22" s="27" t="s">
        <v>297</v>
      </c>
    </row>
    <row r="24" spans="2:3" ht="11.25">
      <c r="B24" s="24" t="s">
        <v>281</v>
      </c>
      <c r="C24" s="23" t="s">
        <v>286</v>
      </c>
    </row>
    <row r="25" spans="2:3" ht="11.25">
      <c r="B25" s="24" t="s">
        <v>282</v>
      </c>
      <c r="C25" s="23" t="s">
        <v>287</v>
      </c>
    </row>
    <row r="26" spans="2:3" ht="11.25">
      <c r="B26" s="24" t="s">
        <v>283</v>
      </c>
      <c r="C26" s="23" t="s">
        <v>288</v>
      </c>
    </row>
    <row r="27" spans="2:3" ht="11.25">
      <c r="B27" s="24" t="s">
        <v>284</v>
      </c>
      <c r="C27" s="23" t="s">
        <v>528</v>
      </c>
    </row>
    <row r="28" spans="2:3" ht="11.25">
      <c r="B28" s="24" t="s">
        <v>285</v>
      </c>
      <c r="C28" s="23" t="s">
        <v>289</v>
      </c>
    </row>
    <row r="30" spans="2:3" ht="11.25">
      <c r="B30" s="24" t="s">
        <v>215</v>
      </c>
      <c r="C30" s="27" t="s">
        <v>298</v>
      </c>
    </row>
    <row r="31" spans="3:8" ht="11.25">
      <c r="C31" s="27" t="s">
        <v>307</v>
      </c>
      <c r="H31" s="27" t="s">
        <v>191</v>
      </c>
    </row>
    <row r="32" ht="11.25">
      <c r="C32" s="27" t="s">
        <v>296</v>
      </c>
    </row>
    <row r="34" ht="11.25">
      <c r="C34" s="137" t="s">
        <v>887</v>
      </c>
    </row>
    <row r="35" ht="11.25">
      <c r="C35" s="79" t="s">
        <v>886</v>
      </c>
    </row>
    <row r="36" ht="11.25">
      <c r="C36" s="79" t="s">
        <v>810</v>
      </c>
    </row>
    <row r="37" ht="11.25">
      <c r="C37" s="79" t="s">
        <v>811</v>
      </c>
    </row>
    <row r="38" ht="11.25">
      <c r="C38" s="79" t="s">
        <v>812</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2"/>
  <dimension ref="A1:BD42"/>
  <sheetViews>
    <sheetView zoomScalePageLayoutView="0" workbookViewId="0" topLeftCell="A1">
      <pane xSplit="7" ySplit="10" topLeftCell="H19" activePane="bottomRight" state="frozen"/>
      <selection pane="topLeft" activeCell="D32" sqref="D32"/>
      <selection pane="topRight" activeCell="D32" sqref="D32"/>
      <selection pane="bottomLeft" activeCell="D32" sqref="D32"/>
      <selection pane="bottomRight"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48" width="4.140625" style="27" customWidth="1"/>
    <col min="49" max="52" width="9.140625" style="27" customWidth="1"/>
    <col min="53" max="55" width="8.140625" style="27" customWidth="1"/>
    <col min="56" max="16384" width="9.140625" style="27" customWidth="1"/>
  </cols>
  <sheetData>
    <row r="1" spans="1:32" ht="11.25">
      <c r="A1" s="27" t="s">
        <v>191</v>
      </c>
      <c r="AF1" s="27" t="s">
        <v>191</v>
      </c>
    </row>
    <row r="2" ht="11.25">
      <c r="D2" s="23" t="s">
        <v>500</v>
      </c>
    </row>
    <row r="3" ht="11.25">
      <c r="D3" s="27" t="s">
        <v>750</v>
      </c>
    </row>
    <row r="4" spans="4:48" ht="11.25">
      <c r="D4" s="27" t="s">
        <v>310</v>
      </c>
      <c r="H4" s="28" t="s">
        <v>300</v>
      </c>
      <c r="I4" s="29"/>
      <c r="J4" s="29"/>
      <c r="K4" s="29"/>
      <c r="L4" s="29"/>
      <c r="M4" s="29"/>
      <c r="N4" s="29"/>
      <c r="O4" s="49"/>
      <c r="P4" s="49"/>
      <c r="Q4" s="49"/>
      <c r="R4" s="49"/>
      <c r="S4" s="49"/>
      <c r="T4" s="49"/>
      <c r="U4" s="29"/>
      <c r="V4" s="29"/>
      <c r="W4" s="29"/>
      <c r="X4" s="30"/>
      <c r="AG4" s="28" t="s">
        <v>301</v>
      </c>
      <c r="AH4" s="29"/>
      <c r="AI4" s="29"/>
      <c r="AJ4" s="49"/>
      <c r="AK4" s="49"/>
      <c r="AL4" s="49"/>
      <c r="AM4" s="49"/>
      <c r="AN4" s="49"/>
      <c r="AO4" s="49"/>
      <c r="AP4" s="49"/>
      <c r="AQ4" s="29"/>
      <c r="AR4" s="29"/>
      <c r="AS4" s="49"/>
      <c r="AT4" s="49"/>
      <c r="AU4" s="29"/>
      <c r="AV4" s="30"/>
    </row>
    <row r="5" spans="4:48" ht="11.25">
      <c r="D5" s="191"/>
      <c r="H5" s="375" t="s">
        <v>309</v>
      </c>
      <c r="I5" s="376"/>
      <c r="J5" s="376"/>
      <c r="K5" s="377"/>
      <c r="L5" s="53" t="s">
        <v>513</v>
      </c>
      <c r="M5" s="53" t="s">
        <v>313</v>
      </c>
      <c r="N5" s="53" t="s">
        <v>312</v>
      </c>
      <c r="O5" s="52" t="s">
        <v>316</v>
      </c>
      <c r="P5" s="51"/>
      <c r="Q5" s="51"/>
      <c r="R5" s="51"/>
      <c r="S5" s="51"/>
      <c r="T5" s="125"/>
      <c r="U5" s="376" t="s">
        <v>314</v>
      </c>
      <c r="V5" s="376"/>
      <c r="W5" s="376"/>
      <c r="X5" s="377"/>
      <c r="Y5" s="375" t="s">
        <v>288</v>
      </c>
      <c r="Z5" s="376"/>
      <c r="AA5" s="376"/>
      <c r="AB5" s="376"/>
      <c r="AC5" s="376"/>
      <c r="AD5" s="376"/>
      <c r="AE5" s="376"/>
      <c r="AF5" s="376"/>
      <c r="AG5" s="53" t="s">
        <v>312</v>
      </c>
      <c r="AH5" s="375" t="s">
        <v>546</v>
      </c>
      <c r="AI5" s="376"/>
      <c r="AJ5" s="375" t="s">
        <v>548</v>
      </c>
      <c r="AK5" s="376"/>
      <c r="AL5" s="376"/>
      <c r="AM5" s="376"/>
      <c r="AN5" s="376"/>
      <c r="AO5" s="376"/>
      <c r="AP5" s="377"/>
      <c r="AQ5" s="376" t="s">
        <v>313</v>
      </c>
      <c r="AR5" s="376"/>
      <c r="AS5" s="375" t="s">
        <v>738</v>
      </c>
      <c r="AT5" s="377"/>
      <c r="AU5" s="375" t="s">
        <v>660</v>
      </c>
      <c r="AV5" s="377"/>
    </row>
    <row r="6" spans="3:48" ht="11.25">
      <c r="C6" s="37"/>
      <c r="D6" s="126"/>
      <c r="E6" s="105"/>
      <c r="F6" s="115"/>
      <c r="G6" s="116" t="s">
        <v>184</v>
      </c>
      <c r="H6" s="62" t="s">
        <v>295</v>
      </c>
      <c r="I6" s="41" t="s">
        <v>295</v>
      </c>
      <c r="J6" s="41" t="s">
        <v>295</v>
      </c>
      <c r="K6" s="41" t="s">
        <v>430</v>
      </c>
      <c r="L6" s="41" t="s">
        <v>295</v>
      </c>
      <c r="M6" s="41" t="s">
        <v>295</v>
      </c>
      <c r="N6" s="41" t="s">
        <v>515</v>
      </c>
      <c r="O6" s="41" t="s">
        <v>295</v>
      </c>
      <c r="P6" s="41" t="s">
        <v>295</v>
      </c>
      <c r="Q6" s="41" t="s">
        <v>516</v>
      </c>
      <c r="R6" s="41" t="s">
        <v>295</v>
      </c>
      <c r="S6" s="41" t="s">
        <v>295</v>
      </c>
      <c r="T6" s="41" t="s">
        <v>295</v>
      </c>
      <c r="U6" s="41"/>
      <c r="V6" s="41"/>
      <c r="W6" s="41"/>
      <c r="X6" s="41"/>
      <c r="Y6" s="41" t="s">
        <v>295</v>
      </c>
      <c r="Z6" s="41" t="s">
        <v>295</v>
      </c>
      <c r="AA6" s="41" t="s">
        <v>295</v>
      </c>
      <c r="AB6" s="41" t="s">
        <v>515</v>
      </c>
      <c r="AC6" s="41" t="s">
        <v>430</v>
      </c>
      <c r="AD6" s="41" t="s">
        <v>295</v>
      </c>
      <c r="AE6" s="41" t="s">
        <v>295</v>
      </c>
      <c r="AF6" s="41" t="s">
        <v>430</v>
      </c>
      <c r="AG6" s="41" t="s">
        <v>515</v>
      </c>
      <c r="AH6" s="41" t="s">
        <v>515</v>
      </c>
      <c r="AI6" s="41" t="s">
        <v>515</v>
      </c>
      <c r="AJ6" s="50" t="s">
        <v>295</v>
      </c>
      <c r="AK6" s="50" t="s">
        <v>295</v>
      </c>
      <c r="AL6" s="50" t="s">
        <v>295</v>
      </c>
      <c r="AM6" s="50" t="s">
        <v>295</v>
      </c>
      <c r="AN6" s="50" t="s">
        <v>295</v>
      </c>
      <c r="AO6" s="50" t="s">
        <v>295</v>
      </c>
      <c r="AP6" s="50" t="s">
        <v>295</v>
      </c>
      <c r="AQ6" s="41"/>
      <c r="AR6" s="41"/>
      <c r="AS6" s="50"/>
      <c r="AT6" s="50"/>
      <c r="AU6" s="41"/>
      <c r="AV6" s="41"/>
    </row>
    <row r="7" spans="3:48" ht="11.25">
      <c r="C7" s="39"/>
      <c r="D7" s="63"/>
      <c r="E7" s="56"/>
      <c r="F7" s="117"/>
      <c r="G7" s="118" t="s">
        <v>185</v>
      </c>
      <c r="H7" s="112">
        <v>190</v>
      </c>
      <c r="I7" s="42">
        <v>190</v>
      </c>
      <c r="J7" s="42">
        <v>330</v>
      </c>
      <c r="K7" s="42">
        <v>330</v>
      </c>
      <c r="L7" s="41">
        <v>180</v>
      </c>
      <c r="M7" s="41">
        <v>230</v>
      </c>
      <c r="N7" s="41">
        <v>130</v>
      </c>
      <c r="O7" s="41">
        <v>220</v>
      </c>
      <c r="P7" s="41">
        <v>220</v>
      </c>
      <c r="Q7" s="41">
        <v>210</v>
      </c>
      <c r="R7" s="41">
        <v>210</v>
      </c>
      <c r="S7" s="41">
        <v>210</v>
      </c>
      <c r="T7" s="41">
        <v>210</v>
      </c>
      <c r="U7" s="41"/>
      <c r="V7" s="41"/>
      <c r="W7" s="41"/>
      <c r="X7" s="41"/>
      <c r="Y7" s="41">
        <v>85</v>
      </c>
      <c r="Z7" s="41">
        <v>85</v>
      </c>
      <c r="AA7" s="41">
        <v>85</v>
      </c>
      <c r="AB7" s="41">
        <v>90</v>
      </c>
      <c r="AC7" s="41">
        <v>135</v>
      </c>
      <c r="AD7" s="41">
        <v>10</v>
      </c>
      <c r="AE7" s="41">
        <v>10</v>
      </c>
      <c r="AF7" s="41">
        <v>170</v>
      </c>
      <c r="AG7" s="41">
        <v>135</v>
      </c>
      <c r="AH7" s="41">
        <v>300</v>
      </c>
      <c r="AI7" s="41">
        <v>300</v>
      </c>
      <c r="AJ7" s="41">
        <v>175</v>
      </c>
      <c r="AK7" s="41">
        <v>175</v>
      </c>
      <c r="AL7" s="41">
        <v>175</v>
      </c>
      <c r="AM7" s="41">
        <v>175</v>
      </c>
      <c r="AN7" s="41">
        <v>175</v>
      </c>
      <c r="AO7" s="41">
        <v>175</v>
      </c>
      <c r="AP7" s="41">
        <v>175</v>
      </c>
      <c r="AQ7" s="41"/>
      <c r="AR7" s="41"/>
      <c r="AS7" s="41"/>
      <c r="AT7" s="41"/>
      <c r="AU7" s="41"/>
      <c r="AV7" s="41"/>
    </row>
    <row r="8" spans="3:48" ht="11.25">
      <c r="C8" s="39"/>
      <c r="D8" s="63"/>
      <c r="E8" s="56"/>
      <c r="F8" s="117"/>
      <c r="G8" s="118" t="s">
        <v>186</v>
      </c>
      <c r="H8" s="62">
        <v>12</v>
      </c>
      <c r="I8" s="41">
        <v>20</v>
      </c>
      <c r="J8" s="44" t="s">
        <v>363</v>
      </c>
      <c r="K8" s="43" t="s">
        <v>362</v>
      </c>
      <c r="L8" s="111">
        <v>5</v>
      </c>
      <c r="M8" s="43">
        <v>5</v>
      </c>
      <c r="N8" s="43">
        <v>5</v>
      </c>
      <c r="O8" s="43">
        <v>8</v>
      </c>
      <c r="P8" s="43">
        <v>8</v>
      </c>
      <c r="Q8" s="43">
        <v>12</v>
      </c>
      <c r="R8" s="43">
        <v>8</v>
      </c>
      <c r="S8" s="43">
        <v>8</v>
      </c>
      <c r="T8" s="43">
        <v>10</v>
      </c>
      <c r="U8" s="43"/>
      <c r="V8" s="43"/>
      <c r="W8" s="43"/>
      <c r="X8" s="43"/>
      <c r="Y8" s="43">
        <v>10</v>
      </c>
      <c r="Z8" s="43">
        <v>10</v>
      </c>
      <c r="AA8" s="43">
        <v>12</v>
      </c>
      <c r="AB8" s="43">
        <v>5</v>
      </c>
      <c r="AC8" s="43">
        <v>3</v>
      </c>
      <c r="AD8" s="43">
        <v>20</v>
      </c>
      <c r="AE8" s="43">
        <v>15</v>
      </c>
      <c r="AF8" s="43">
        <v>2</v>
      </c>
      <c r="AG8" s="43">
        <v>2</v>
      </c>
      <c r="AH8" s="43">
        <v>2</v>
      </c>
      <c r="AI8" s="43">
        <v>1</v>
      </c>
      <c r="AJ8" s="43">
        <v>15</v>
      </c>
      <c r="AK8" s="43">
        <v>15</v>
      </c>
      <c r="AL8" s="43">
        <v>15</v>
      </c>
      <c r="AM8" s="43">
        <v>15</v>
      </c>
      <c r="AN8" s="43">
        <v>10</v>
      </c>
      <c r="AO8" s="43">
        <v>8</v>
      </c>
      <c r="AP8" s="43">
        <v>5</v>
      </c>
      <c r="AQ8" s="43"/>
      <c r="AR8" s="43"/>
      <c r="AS8" s="43"/>
      <c r="AT8" s="43"/>
      <c r="AU8" s="43"/>
      <c r="AV8" s="43"/>
    </row>
    <row r="9" spans="3:53" ht="11.25">
      <c r="C9" s="60"/>
      <c r="D9" s="127"/>
      <c r="E9" s="56">
        <f>COUNTIF($H9:AV9,"&gt;0")</f>
        <v>41</v>
      </c>
      <c r="F9" s="119"/>
      <c r="G9" s="120" t="s">
        <v>187</v>
      </c>
      <c r="H9" s="62">
        <v>12</v>
      </c>
      <c r="I9" s="41">
        <v>12</v>
      </c>
      <c r="J9" s="41">
        <v>11</v>
      </c>
      <c r="K9" s="41">
        <v>11</v>
      </c>
      <c r="L9" s="41">
        <v>13</v>
      </c>
      <c r="M9" s="41">
        <v>11</v>
      </c>
      <c r="N9" s="41">
        <v>12</v>
      </c>
      <c r="O9" s="41">
        <v>20</v>
      </c>
      <c r="P9" s="41">
        <v>19</v>
      </c>
      <c r="Q9" s="41">
        <v>17</v>
      </c>
      <c r="R9" s="41">
        <v>19</v>
      </c>
      <c r="S9" s="41">
        <v>19</v>
      </c>
      <c r="T9" s="41">
        <v>18</v>
      </c>
      <c r="U9" s="41">
        <v>10</v>
      </c>
      <c r="V9" s="41">
        <v>10</v>
      </c>
      <c r="W9" s="41">
        <v>9</v>
      </c>
      <c r="X9" s="41">
        <v>7</v>
      </c>
      <c r="Y9" s="41">
        <v>15</v>
      </c>
      <c r="Z9" s="41">
        <v>15</v>
      </c>
      <c r="AA9" s="41">
        <v>15</v>
      </c>
      <c r="AB9" s="41">
        <v>17</v>
      </c>
      <c r="AC9" s="41">
        <v>16</v>
      </c>
      <c r="AD9" s="41">
        <v>17</v>
      </c>
      <c r="AE9" s="41">
        <v>16</v>
      </c>
      <c r="AF9" s="41">
        <v>15</v>
      </c>
      <c r="AG9" s="41">
        <v>13</v>
      </c>
      <c r="AH9" s="41">
        <v>8</v>
      </c>
      <c r="AI9" s="41">
        <v>8</v>
      </c>
      <c r="AJ9" s="41">
        <v>8</v>
      </c>
      <c r="AK9" s="41">
        <v>8</v>
      </c>
      <c r="AL9" s="41">
        <v>7</v>
      </c>
      <c r="AM9" s="41">
        <v>7</v>
      </c>
      <c r="AN9" s="41">
        <v>8</v>
      </c>
      <c r="AO9" s="41">
        <v>8</v>
      </c>
      <c r="AP9" s="41">
        <v>7</v>
      </c>
      <c r="AQ9" s="41">
        <v>6</v>
      </c>
      <c r="AR9" s="41">
        <v>4</v>
      </c>
      <c r="AS9" s="41">
        <v>7</v>
      </c>
      <c r="AT9" s="41">
        <v>6</v>
      </c>
      <c r="AU9" s="41">
        <v>6</v>
      </c>
      <c r="AV9" s="41">
        <v>6</v>
      </c>
      <c r="BA9" s="27" t="s">
        <v>745</v>
      </c>
    </row>
    <row r="10" spans="3:56" ht="37.5">
      <c r="C10" s="41" t="s">
        <v>451</v>
      </c>
      <c r="D10" s="124" t="s">
        <v>422</v>
      </c>
      <c r="E10" s="36" t="s">
        <v>188</v>
      </c>
      <c r="F10" s="36" t="s">
        <v>189</v>
      </c>
      <c r="G10" s="151" t="s">
        <v>190</v>
      </c>
      <c r="H10" s="36">
        <v>38135</v>
      </c>
      <c r="I10" s="36">
        <v>38135</v>
      </c>
      <c r="J10" s="36">
        <v>38136</v>
      </c>
      <c r="K10" s="36">
        <v>38136</v>
      </c>
      <c r="L10" s="36">
        <v>38142</v>
      </c>
      <c r="M10" s="36">
        <v>38149</v>
      </c>
      <c r="N10" s="36">
        <v>38156</v>
      </c>
      <c r="O10" s="36">
        <v>38163</v>
      </c>
      <c r="P10" s="36">
        <v>38163</v>
      </c>
      <c r="Q10" s="36">
        <v>38163</v>
      </c>
      <c r="R10" s="36">
        <v>38164</v>
      </c>
      <c r="S10" s="36">
        <v>38164</v>
      </c>
      <c r="T10" s="36">
        <v>38164</v>
      </c>
      <c r="U10" s="36">
        <v>38170</v>
      </c>
      <c r="V10" s="36">
        <v>38170</v>
      </c>
      <c r="W10" s="36">
        <v>38171</v>
      </c>
      <c r="X10" s="36">
        <v>38171</v>
      </c>
      <c r="Y10" s="36">
        <v>38184</v>
      </c>
      <c r="Z10" s="36">
        <v>38184</v>
      </c>
      <c r="AA10" s="36">
        <v>38184</v>
      </c>
      <c r="AB10" s="36">
        <v>38185</v>
      </c>
      <c r="AC10" s="36">
        <v>38185</v>
      </c>
      <c r="AD10" s="36">
        <v>38191</v>
      </c>
      <c r="AE10" s="36">
        <v>38191</v>
      </c>
      <c r="AF10" s="36">
        <v>38192</v>
      </c>
      <c r="AG10" s="36">
        <v>38205</v>
      </c>
      <c r="AH10" s="36">
        <v>38219</v>
      </c>
      <c r="AI10" s="36">
        <v>38219</v>
      </c>
      <c r="AJ10" s="36">
        <v>38226</v>
      </c>
      <c r="AK10" s="36">
        <v>38226</v>
      </c>
      <c r="AL10" s="36">
        <v>38226</v>
      </c>
      <c r="AM10" s="36">
        <v>38226</v>
      </c>
      <c r="AN10" s="36">
        <v>38227</v>
      </c>
      <c r="AO10" s="36">
        <v>38227</v>
      </c>
      <c r="AP10" s="36">
        <v>38227</v>
      </c>
      <c r="AQ10" s="36">
        <v>38233</v>
      </c>
      <c r="AR10" s="36">
        <v>38233</v>
      </c>
      <c r="AS10" s="36">
        <v>38261</v>
      </c>
      <c r="AT10" s="36">
        <v>38261</v>
      </c>
      <c r="AU10" s="36">
        <v>38269</v>
      </c>
      <c r="AV10" s="36">
        <v>38269</v>
      </c>
      <c r="AZ10" s="104"/>
      <c r="BA10" s="41" t="s">
        <v>742</v>
      </c>
      <c r="BB10" s="41" t="s">
        <v>743</v>
      </c>
      <c r="BC10" s="41" t="s">
        <v>744</v>
      </c>
      <c r="BD10" s="41" t="s">
        <v>746</v>
      </c>
    </row>
    <row r="11" spans="2:56" ht="11.25">
      <c r="B11" s="27">
        <v>1</v>
      </c>
      <c r="C11" s="38">
        <v>25</v>
      </c>
      <c r="D11" s="37" t="s">
        <v>357</v>
      </c>
      <c r="E11" s="48">
        <f aca="true" t="shared" si="0" ref="E11:E35">COUNTA(H11:AV11)+BD11</f>
        <v>40</v>
      </c>
      <c r="F11" s="48">
        <f aca="true" t="shared" si="1" ref="F11:F35">MIN(INT(E11/10),3)</f>
        <v>3</v>
      </c>
      <c r="G11" s="61">
        <f>C_S_G($H11:AV11,$H$9:AV$9,csg_table,E$9,F11)</f>
        <v>0.8986534372785259</v>
      </c>
      <c r="H11" s="48">
        <v>1</v>
      </c>
      <c r="I11" s="48">
        <v>2</v>
      </c>
      <c r="J11" s="48">
        <v>7</v>
      </c>
      <c r="K11" s="48">
        <v>4</v>
      </c>
      <c r="L11" s="48">
        <v>2</v>
      </c>
      <c r="M11" s="48">
        <v>6</v>
      </c>
      <c r="N11" s="48">
        <v>2</v>
      </c>
      <c r="O11" s="48">
        <v>2</v>
      </c>
      <c r="P11" s="48">
        <v>1</v>
      </c>
      <c r="Q11" s="48">
        <v>14</v>
      </c>
      <c r="R11" s="48">
        <v>5</v>
      </c>
      <c r="S11" s="48">
        <v>3</v>
      </c>
      <c r="T11" s="48">
        <v>1</v>
      </c>
      <c r="U11" s="48">
        <v>4</v>
      </c>
      <c r="V11" s="48">
        <v>1</v>
      </c>
      <c r="W11" s="48">
        <v>1</v>
      </c>
      <c r="X11" s="48">
        <v>2</v>
      </c>
      <c r="Y11" s="48">
        <v>6</v>
      </c>
      <c r="Z11" s="48">
        <v>1</v>
      </c>
      <c r="AA11" s="48">
        <v>4</v>
      </c>
      <c r="AB11" s="48">
        <v>3</v>
      </c>
      <c r="AC11" s="48">
        <v>3</v>
      </c>
      <c r="AD11" s="48">
        <v>4</v>
      </c>
      <c r="AE11" s="48">
        <v>8</v>
      </c>
      <c r="AF11" s="48">
        <v>4</v>
      </c>
      <c r="AG11" s="48">
        <v>8</v>
      </c>
      <c r="AH11" s="48">
        <v>5</v>
      </c>
      <c r="AI11" s="48">
        <v>1</v>
      </c>
      <c r="AJ11" s="48">
        <v>3</v>
      </c>
      <c r="AK11" s="48">
        <v>3</v>
      </c>
      <c r="AL11" s="48">
        <v>6</v>
      </c>
      <c r="AM11" s="48">
        <v>1</v>
      </c>
      <c r="AN11" s="48">
        <v>3</v>
      </c>
      <c r="AO11" s="48">
        <v>2</v>
      </c>
      <c r="AP11" s="48">
        <v>1</v>
      </c>
      <c r="AQ11" s="48"/>
      <c r="AR11" s="48"/>
      <c r="AS11" s="48">
        <v>1</v>
      </c>
      <c r="AT11" s="48">
        <v>2</v>
      </c>
      <c r="AU11" s="48"/>
      <c r="AV11" s="48"/>
      <c r="AZ11" s="38">
        <f>C11</f>
        <v>25</v>
      </c>
      <c r="BA11" s="37">
        <f>VLOOKUP(C11,'2005Nationals'!$C$8:$M$31,11,FALSE)</f>
        <v>13</v>
      </c>
      <c r="BB11" s="37">
        <f>VLOOKUP(C11,'2005NOOD'!$C$9:$K$26,9,FALSE)</f>
        <v>1</v>
      </c>
      <c r="BC11" s="37">
        <f>VLOOKUP('2005Season'!C11,'2005Crew'!$C$9:$H$16,6,FALSE)</f>
        <v>0</v>
      </c>
      <c r="BD11" s="37">
        <f aca="true" t="shared" si="2" ref="BD11:BD30">COUNT(BA11:BC11)</f>
        <v>3</v>
      </c>
    </row>
    <row r="12" spans="2:56" ht="11.25">
      <c r="B12" s="27">
        <v>2</v>
      </c>
      <c r="C12" s="40">
        <v>231</v>
      </c>
      <c r="D12" s="39" t="s">
        <v>419</v>
      </c>
      <c r="E12" s="32">
        <f t="shared" si="0"/>
        <v>24</v>
      </c>
      <c r="F12" s="32">
        <f t="shared" si="1"/>
        <v>2</v>
      </c>
      <c r="G12" s="33">
        <f>C_S_G($H12:AV12,$H$9:AV$9,csg_table,E$9,F12)</f>
        <v>0.89035350509287</v>
      </c>
      <c r="H12" s="32"/>
      <c r="I12" s="32"/>
      <c r="J12" s="32"/>
      <c r="K12" s="32"/>
      <c r="L12" s="32">
        <v>1</v>
      </c>
      <c r="M12" s="32"/>
      <c r="N12" s="32">
        <v>8</v>
      </c>
      <c r="O12" s="32">
        <v>13</v>
      </c>
      <c r="P12" s="32">
        <v>6</v>
      </c>
      <c r="Q12" s="32">
        <v>2</v>
      </c>
      <c r="R12" s="32">
        <v>3</v>
      </c>
      <c r="S12" s="32">
        <v>2</v>
      </c>
      <c r="T12" s="32">
        <v>11</v>
      </c>
      <c r="U12" s="32"/>
      <c r="V12" s="32"/>
      <c r="W12" s="32"/>
      <c r="X12" s="32"/>
      <c r="Y12" s="32">
        <v>1</v>
      </c>
      <c r="Z12" s="32">
        <v>6</v>
      </c>
      <c r="AA12" s="32">
        <v>2</v>
      </c>
      <c r="AB12" s="32">
        <v>2</v>
      </c>
      <c r="AC12" s="32">
        <v>5</v>
      </c>
      <c r="AD12" s="32">
        <v>2</v>
      </c>
      <c r="AE12" s="32">
        <v>3</v>
      </c>
      <c r="AF12" s="32">
        <v>2</v>
      </c>
      <c r="AG12" s="32">
        <v>6</v>
      </c>
      <c r="AH12" s="32"/>
      <c r="AI12" s="32"/>
      <c r="AJ12" s="32"/>
      <c r="AK12" s="32"/>
      <c r="AL12" s="32"/>
      <c r="AM12" s="32" t="s">
        <v>191</v>
      </c>
      <c r="AN12" s="32"/>
      <c r="AO12" s="32"/>
      <c r="AP12" s="32"/>
      <c r="AQ12" s="32"/>
      <c r="AR12" s="32"/>
      <c r="AS12" s="32">
        <v>2</v>
      </c>
      <c r="AT12" s="32">
        <v>1</v>
      </c>
      <c r="AU12" s="32">
        <v>2</v>
      </c>
      <c r="AV12" s="32">
        <v>4</v>
      </c>
      <c r="AZ12" s="40">
        <f aca="true" t="shared" si="3" ref="AZ12:AZ35">C12</f>
        <v>231</v>
      </c>
      <c r="BA12" s="39">
        <f>VLOOKUP(C12,'2005Nationals'!$C$8:$M$31,11,FALSE)</f>
        <v>9</v>
      </c>
      <c r="BB12" s="39">
        <f>VLOOKUP(C12,'2005NOOD'!$C$9:$K$26,9,FALSE)</f>
        <v>10</v>
      </c>
      <c r="BC12" s="39" t="e">
        <f>VLOOKUP('2005Season'!C12,'2005Crew'!$C$9:$H$16,6,FALSE)</f>
        <v>#N/A</v>
      </c>
      <c r="BD12" s="39">
        <f t="shared" si="2"/>
        <v>2</v>
      </c>
    </row>
    <row r="13" spans="2:56" ht="11.25">
      <c r="B13" s="27">
        <v>3</v>
      </c>
      <c r="C13" s="40">
        <v>23</v>
      </c>
      <c r="D13" s="39" t="s">
        <v>684</v>
      </c>
      <c r="E13" s="32">
        <f t="shared" si="0"/>
        <v>35</v>
      </c>
      <c r="F13" s="32">
        <f t="shared" si="1"/>
        <v>3</v>
      </c>
      <c r="G13" s="33">
        <f>C_S_G($H13:AV13,$H$9:AV$9,csg_table,E$9,F13)</f>
        <v>0.8663145062982528</v>
      </c>
      <c r="H13" s="32">
        <v>4</v>
      </c>
      <c r="I13" s="32">
        <v>3</v>
      </c>
      <c r="J13" s="32">
        <v>3</v>
      </c>
      <c r="K13" s="32">
        <v>2</v>
      </c>
      <c r="L13" s="32">
        <v>4</v>
      </c>
      <c r="M13" s="32">
        <v>3</v>
      </c>
      <c r="N13" s="32"/>
      <c r="O13" s="32" t="s">
        <v>517</v>
      </c>
      <c r="P13" s="32">
        <v>3</v>
      </c>
      <c r="Q13" s="32">
        <v>11</v>
      </c>
      <c r="R13" s="32">
        <v>4</v>
      </c>
      <c r="S13" s="32">
        <v>6</v>
      </c>
      <c r="T13" s="32">
        <v>8</v>
      </c>
      <c r="U13" s="32">
        <v>1</v>
      </c>
      <c r="V13" s="32">
        <v>4</v>
      </c>
      <c r="W13" s="32">
        <v>2</v>
      </c>
      <c r="X13" s="32">
        <v>1</v>
      </c>
      <c r="Y13" s="32">
        <v>5</v>
      </c>
      <c r="Z13" s="32">
        <v>2</v>
      </c>
      <c r="AA13" s="32">
        <v>7</v>
      </c>
      <c r="AB13" s="32">
        <v>12</v>
      </c>
      <c r="AC13" s="32">
        <v>4</v>
      </c>
      <c r="AD13" s="32">
        <v>1</v>
      </c>
      <c r="AE13" s="32">
        <v>4</v>
      </c>
      <c r="AF13" s="32">
        <v>6</v>
      </c>
      <c r="AG13" s="32">
        <v>11</v>
      </c>
      <c r="AH13" s="32"/>
      <c r="AI13" s="32"/>
      <c r="AJ13" s="32">
        <v>6</v>
      </c>
      <c r="AK13" s="32">
        <v>1</v>
      </c>
      <c r="AL13" s="32">
        <v>2</v>
      </c>
      <c r="AM13" s="32">
        <v>2</v>
      </c>
      <c r="AN13" s="32">
        <v>1</v>
      </c>
      <c r="AO13" s="32">
        <v>3</v>
      </c>
      <c r="AP13" s="32">
        <v>4</v>
      </c>
      <c r="AQ13" s="32"/>
      <c r="AR13" s="32"/>
      <c r="AS13" s="32"/>
      <c r="AT13" s="32"/>
      <c r="AU13" s="32"/>
      <c r="AV13" s="32"/>
      <c r="AZ13" s="40">
        <f t="shared" si="3"/>
        <v>23</v>
      </c>
      <c r="BA13" s="39">
        <f>VLOOKUP(C13,'2005Nationals'!$C$8:$M$31,11,FALSE)</f>
        <v>3</v>
      </c>
      <c r="BB13" s="39">
        <f>VLOOKUP(C13,'2005NOOD'!$C$9:$K$26,9,FALSE)</f>
        <v>4</v>
      </c>
      <c r="BC13" s="39">
        <f>VLOOKUP('2005Season'!C13,'2005Crew'!$C$9:$H$16,6,FALSE)</f>
        <v>4</v>
      </c>
      <c r="BD13" s="39">
        <f t="shared" si="2"/>
        <v>3</v>
      </c>
    </row>
    <row r="14" spans="2:56" ht="11.25">
      <c r="B14" s="27">
        <v>4</v>
      </c>
      <c r="C14" s="40">
        <v>221</v>
      </c>
      <c r="D14" s="39" t="s">
        <v>407</v>
      </c>
      <c r="E14" s="32">
        <f t="shared" si="0"/>
        <v>23</v>
      </c>
      <c r="F14" s="32">
        <f t="shared" si="1"/>
        <v>2</v>
      </c>
      <c r="G14" s="33">
        <f>C_S_G($H14:AV14,$H$9:AV$9,csg_table,E$9,F14)</f>
        <v>0.8571428571428571</v>
      </c>
      <c r="H14" s="32"/>
      <c r="I14" s="32"/>
      <c r="J14" s="32">
        <v>5</v>
      </c>
      <c r="K14" s="32">
        <v>6</v>
      </c>
      <c r="L14" s="32"/>
      <c r="M14" s="32"/>
      <c r="N14" s="32"/>
      <c r="O14" s="32">
        <v>7</v>
      </c>
      <c r="P14" s="32">
        <v>2</v>
      </c>
      <c r="Q14" s="32">
        <v>3</v>
      </c>
      <c r="R14" s="32">
        <v>6</v>
      </c>
      <c r="S14" s="32">
        <v>8</v>
      </c>
      <c r="T14" s="32">
        <v>3</v>
      </c>
      <c r="U14" s="32"/>
      <c r="V14" s="32"/>
      <c r="W14" s="32"/>
      <c r="X14" s="32"/>
      <c r="Y14" s="32">
        <v>3</v>
      </c>
      <c r="Z14" s="32">
        <v>3</v>
      </c>
      <c r="AA14" s="32">
        <v>5</v>
      </c>
      <c r="AB14" s="32">
        <v>14</v>
      </c>
      <c r="AC14" s="32">
        <v>6</v>
      </c>
      <c r="AD14" s="32">
        <v>6</v>
      </c>
      <c r="AE14" s="32">
        <v>10</v>
      </c>
      <c r="AF14" s="32">
        <v>1</v>
      </c>
      <c r="AG14" s="32">
        <v>2</v>
      </c>
      <c r="AH14" s="32">
        <v>3</v>
      </c>
      <c r="AI14" s="32">
        <v>3</v>
      </c>
      <c r="AJ14" s="32"/>
      <c r="AK14" s="32"/>
      <c r="AL14" s="32"/>
      <c r="AM14" s="32"/>
      <c r="AN14" s="32"/>
      <c r="AO14" s="32"/>
      <c r="AP14" s="32"/>
      <c r="AQ14" s="32">
        <v>2</v>
      </c>
      <c r="AR14" s="32">
        <v>1</v>
      </c>
      <c r="AS14" s="32"/>
      <c r="AT14" s="32"/>
      <c r="AU14" s="32"/>
      <c r="AV14" s="32"/>
      <c r="AZ14" s="40">
        <f t="shared" si="3"/>
        <v>221</v>
      </c>
      <c r="BA14" s="39">
        <f>VLOOKUP(C14,'2005Nationals'!$C$8:$M$31,11,FALSE)</f>
        <v>16</v>
      </c>
      <c r="BB14" s="39">
        <f>VLOOKUP(C14,'2005NOOD'!$C$9:$K$26,9,FALSE)</f>
        <v>8</v>
      </c>
      <c r="BC14" s="39" t="e">
        <f>VLOOKUP('2005Season'!C14,'2005Crew'!$C$9:$H$16,6,FALSE)</f>
        <v>#N/A</v>
      </c>
      <c r="BD14" s="39">
        <f t="shared" si="2"/>
        <v>2</v>
      </c>
    </row>
    <row r="15" spans="2:56" ht="11.25">
      <c r="B15" s="27">
        <v>5</v>
      </c>
      <c r="C15" s="40">
        <v>49</v>
      </c>
      <c r="D15" s="39" t="s">
        <v>526</v>
      </c>
      <c r="E15" s="32">
        <f t="shared" si="0"/>
        <v>20</v>
      </c>
      <c r="F15" s="32">
        <f t="shared" si="1"/>
        <v>2</v>
      </c>
      <c r="G15" s="33">
        <f>C_S_G($H15:AV15,$H$9:AV$9,csg_table,E$9,F15)</f>
        <v>0.8570577724836212</v>
      </c>
      <c r="H15" s="32">
        <v>2</v>
      </c>
      <c r="I15" s="32">
        <v>1</v>
      </c>
      <c r="J15" s="32">
        <v>4</v>
      </c>
      <c r="K15" s="32">
        <v>1</v>
      </c>
      <c r="L15" s="32">
        <v>5</v>
      </c>
      <c r="M15" s="32"/>
      <c r="N15" s="32">
        <v>4</v>
      </c>
      <c r="O15" s="32">
        <v>3</v>
      </c>
      <c r="P15" s="32">
        <v>11</v>
      </c>
      <c r="Q15" s="32">
        <v>5</v>
      </c>
      <c r="R15" s="32">
        <v>7</v>
      </c>
      <c r="S15" s="32">
        <v>4</v>
      </c>
      <c r="T15" s="32">
        <v>9</v>
      </c>
      <c r="U15" s="32"/>
      <c r="V15" s="32"/>
      <c r="W15" s="32"/>
      <c r="X15" s="32"/>
      <c r="Y15" s="32">
        <v>2</v>
      </c>
      <c r="Z15" s="32" t="s">
        <v>427</v>
      </c>
      <c r="AA15" s="32">
        <v>6</v>
      </c>
      <c r="AB15" s="32">
        <v>1</v>
      </c>
      <c r="AC15" s="32" t="s">
        <v>517</v>
      </c>
      <c r="AD15" s="32">
        <v>8</v>
      </c>
      <c r="AE15" s="32">
        <v>6</v>
      </c>
      <c r="AF15" s="32"/>
      <c r="AG15" s="32">
        <v>1</v>
      </c>
      <c r="AH15" s="32"/>
      <c r="AI15" s="32"/>
      <c r="AJ15" s="32"/>
      <c r="AK15" s="32"/>
      <c r="AL15" s="32"/>
      <c r="AM15" s="32"/>
      <c r="AN15" s="32"/>
      <c r="AO15" s="32"/>
      <c r="AP15" s="32"/>
      <c r="AQ15" s="32"/>
      <c r="AR15" s="32"/>
      <c r="AS15" s="32"/>
      <c r="AT15" s="32"/>
      <c r="AU15" s="32"/>
      <c r="AV15" s="32"/>
      <c r="AZ15" s="40">
        <f t="shared" si="3"/>
        <v>49</v>
      </c>
      <c r="BA15" s="39" t="e">
        <f>VLOOKUP(C15,'2005Nationals'!$C$8:$M$31,11,FALSE)</f>
        <v>#N/A</v>
      </c>
      <c r="BB15" s="39" t="e">
        <f>VLOOKUP(C15,'2005NOOD'!$C$9:$K$26,9,FALSE)</f>
        <v>#N/A</v>
      </c>
      <c r="BC15" s="39" t="e">
        <f>VLOOKUP('2005Season'!C15,'2005Crew'!$C$9:$H$16,6,FALSE)</f>
        <v>#N/A</v>
      </c>
      <c r="BD15" s="39">
        <f t="shared" si="2"/>
        <v>0</v>
      </c>
    </row>
    <row r="16" spans="2:56" ht="11.25">
      <c r="B16" s="27">
        <v>6</v>
      </c>
      <c r="C16" s="40">
        <v>106</v>
      </c>
      <c r="D16" s="39" t="s">
        <v>505</v>
      </c>
      <c r="E16" s="32">
        <f t="shared" si="0"/>
        <v>27</v>
      </c>
      <c r="F16" s="32">
        <f t="shared" si="1"/>
        <v>2</v>
      </c>
      <c r="G16" s="33">
        <f>C_S_G($H16:AV16,$H$9:AV$9,csg_table,E$9,F16)</f>
        <v>0.8443465491923642</v>
      </c>
      <c r="H16" s="32">
        <v>3</v>
      </c>
      <c r="I16" s="32">
        <v>6</v>
      </c>
      <c r="J16" s="32">
        <v>6</v>
      </c>
      <c r="K16" s="32">
        <v>3</v>
      </c>
      <c r="L16" s="32">
        <v>3</v>
      </c>
      <c r="M16" s="32">
        <v>1</v>
      </c>
      <c r="N16" s="32">
        <v>3</v>
      </c>
      <c r="O16" s="32">
        <v>5</v>
      </c>
      <c r="P16" s="32">
        <v>9</v>
      </c>
      <c r="Q16" s="32">
        <v>8</v>
      </c>
      <c r="R16" s="32">
        <v>1</v>
      </c>
      <c r="S16" s="32">
        <v>5</v>
      </c>
      <c r="T16" s="32">
        <v>10</v>
      </c>
      <c r="U16" s="32">
        <v>5</v>
      </c>
      <c r="V16" s="32" t="s">
        <v>299</v>
      </c>
      <c r="W16" s="32"/>
      <c r="X16" s="32"/>
      <c r="Y16" s="32">
        <v>4</v>
      </c>
      <c r="Z16" s="32">
        <v>7</v>
      </c>
      <c r="AA16" s="32">
        <v>3</v>
      </c>
      <c r="AB16" s="32">
        <v>4</v>
      </c>
      <c r="AC16" s="32">
        <v>2</v>
      </c>
      <c r="AD16" s="32">
        <v>10</v>
      </c>
      <c r="AE16" s="32">
        <v>2</v>
      </c>
      <c r="AF16" s="32">
        <v>5</v>
      </c>
      <c r="AG16" s="32"/>
      <c r="AH16" s="32"/>
      <c r="AI16" s="32"/>
      <c r="AJ16" s="32"/>
      <c r="AK16" s="32"/>
      <c r="AL16" s="32"/>
      <c r="AM16" s="32"/>
      <c r="AN16" s="32"/>
      <c r="AO16" s="32"/>
      <c r="AP16" s="32"/>
      <c r="AQ16" s="32">
        <v>4</v>
      </c>
      <c r="AR16" s="32">
        <v>2</v>
      </c>
      <c r="AS16" s="32"/>
      <c r="AT16" s="32"/>
      <c r="AU16" s="32"/>
      <c r="AV16" s="32"/>
      <c r="AZ16" s="40">
        <f t="shared" si="3"/>
        <v>106</v>
      </c>
      <c r="BA16" s="39">
        <f>VLOOKUP(C16,'2005Nationals'!$C$8:$M$31,11,FALSE)</f>
        <v>8</v>
      </c>
      <c r="BB16" s="39">
        <f>VLOOKUP(C16,'2005NOOD'!$C$9:$K$26,9,FALSE)</f>
        <v>5</v>
      </c>
      <c r="BC16" s="39" t="e">
        <f>VLOOKUP('2005Season'!C16,'2005Crew'!$C$9:$H$16,6,FALSE)</f>
        <v>#N/A</v>
      </c>
      <c r="BD16" s="39">
        <f t="shared" si="2"/>
        <v>2</v>
      </c>
    </row>
    <row r="17" spans="2:56" ht="11.25">
      <c r="B17" s="27">
        <v>7</v>
      </c>
      <c r="C17" s="40">
        <v>182</v>
      </c>
      <c r="D17" s="39" t="s">
        <v>359</v>
      </c>
      <c r="E17" s="32">
        <f t="shared" si="0"/>
        <v>31</v>
      </c>
      <c r="F17" s="32">
        <f t="shared" si="1"/>
        <v>3</v>
      </c>
      <c r="G17" s="33">
        <f>C_S_G($H17:AV17,$H$9:AV$9,csg_table,E$9,F17)</f>
        <v>0.8285845588235294</v>
      </c>
      <c r="H17" s="32">
        <v>5</v>
      </c>
      <c r="I17" s="32">
        <v>5</v>
      </c>
      <c r="J17" s="32"/>
      <c r="K17" s="32"/>
      <c r="L17" s="32"/>
      <c r="M17" s="32">
        <v>4</v>
      </c>
      <c r="N17" s="32"/>
      <c r="O17" s="32">
        <v>10</v>
      </c>
      <c r="P17" s="32">
        <v>7</v>
      </c>
      <c r="Q17" s="32">
        <v>9</v>
      </c>
      <c r="R17" s="32">
        <v>10</v>
      </c>
      <c r="S17" s="32">
        <v>7</v>
      </c>
      <c r="T17" s="32">
        <v>5</v>
      </c>
      <c r="U17" s="32">
        <v>6</v>
      </c>
      <c r="V17" s="32">
        <v>2</v>
      </c>
      <c r="W17" s="32"/>
      <c r="X17" s="32"/>
      <c r="Y17" s="32">
        <v>9</v>
      </c>
      <c r="Z17" s="32">
        <v>5</v>
      </c>
      <c r="AA17" s="32">
        <v>8</v>
      </c>
      <c r="AB17" s="32">
        <v>10</v>
      </c>
      <c r="AC17" s="32">
        <v>11</v>
      </c>
      <c r="AD17" s="32">
        <v>3</v>
      </c>
      <c r="AE17" s="32">
        <v>1</v>
      </c>
      <c r="AF17" s="32">
        <v>7</v>
      </c>
      <c r="AG17" s="32">
        <v>5</v>
      </c>
      <c r="AH17" s="32"/>
      <c r="AI17" s="32"/>
      <c r="AJ17" s="32">
        <v>1</v>
      </c>
      <c r="AK17" s="32">
        <v>2</v>
      </c>
      <c r="AL17" s="32">
        <v>3</v>
      </c>
      <c r="AM17" s="32">
        <v>3</v>
      </c>
      <c r="AN17" s="32">
        <v>2</v>
      </c>
      <c r="AO17" s="32">
        <v>4</v>
      </c>
      <c r="AP17" s="32">
        <v>2</v>
      </c>
      <c r="AQ17" s="32"/>
      <c r="AR17" s="32"/>
      <c r="AS17" s="32"/>
      <c r="AT17" s="32"/>
      <c r="AU17" s="32">
        <v>3</v>
      </c>
      <c r="AV17" s="32">
        <v>2</v>
      </c>
      <c r="AZ17" s="40">
        <f t="shared" si="3"/>
        <v>182</v>
      </c>
      <c r="BA17" s="39">
        <f>VLOOKUP(C17,'2005Nationals'!$C$8:$M$31,11,FALSE)</f>
        <v>11</v>
      </c>
      <c r="BB17" s="39">
        <f>VLOOKUP(C17,'2005NOOD'!$C$9:$K$26,9,FALSE)</f>
        <v>6</v>
      </c>
      <c r="BC17" s="39" t="e">
        <f>VLOOKUP('2005Season'!C17,'2005Crew'!$C$9:$H$16,6,FALSE)</f>
        <v>#N/A</v>
      </c>
      <c r="BD17" s="39">
        <f t="shared" si="2"/>
        <v>2</v>
      </c>
    </row>
    <row r="18" spans="2:56" ht="11.25">
      <c r="B18" s="27">
        <v>8</v>
      </c>
      <c r="C18" s="40">
        <v>176</v>
      </c>
      <c r="D18" s="39" t="s">
        <v>527</v>
      </c>
      <c r="E18" s="32">
        <f t="shared" si="0"/>
        <v>31</v>
      </c>
      <c r="F18" s="32">
        <f t="shared" si="1"/>
        <v>3</v>
      </c>
      <c r="G18" s="33">
        <f>C_S_G($H18:AV18,$H$9:AV$9,csg_table,E$9,F18)</f>
        <v>0.7888257575757576</v>
      </c>
      <c r="H18" s="32">
        <v>6</v>
      </c>
      <c r="I18" s="32">
        <v>10</v>
      </c>
      <c r="J18" s="32">
        <v>2</v>
      </c>
      <c r="K18" s="32">
        <v>7</v>
      </c>
      <c r="L18" s="32">
        <v>7</v>
      </c>
      <c r="M18" s="32">
        <v>8</v>
      </c>
      <c r="N18" s="32">
        <v>7</v>
      </c>
      <c r="O18" s="32"/>
      <c r="P18" s="32"/>
      <c r="Q18" s="32"/>
      <c r="R18" s="32"/>
      <c r="S18" s="32"/>
      <c r="T18" s="32"/>
      <c r="U18" s="32">
        <v>3</v>
      </c>
      <c r="V18" s="32">
        <v>5</v>
      </c>
      <c r="W18" s="32">
        <v>3</v>
      </c>
      <c r="X18" s="32">
        <v>3</v>
      </c>
      <c r="Y18" s="32">
        <v>7</v>
      </c>
      <c r="Z18" s="32">
        <v>9</v>
      </c>
      <c r="AA18" s="32" t="s">
        <v>427</v>
      </c>
      <c r="AB18" s="32">
        <v>5</v>
      </c>
      <c r="AC18" s="32">
        <v>10</v>
      </c>
      <c r="AD18" s="32">
        <v>9</v>
      </c>
      <c r="AE18" s="32">
        <v>5</v>
      </c>
      <c r="AF18" s="32">
        <v>10</v>
      </c>
      <c r="AG18" s="32">
        <v>4</v>
      </c>
      <c r="AH18" s="32">
        <v>1</v>
      </c>
      <c r="AI18" s="32">
        <v>2</v>
      </c>
      <c r="AJ18" s="32">
        <v>5</v>
      </c>
      <c r="AK18" s="32">
        <v>6</v>
      </c>
      <c r="AL18" s="32">
        <v>7</v>
      </c>
      <c r="AM18" s="32">
        <v>5</v>
      </c>
      <c r="AN18" s="32">
        <v>4</v>
      </c>
      <c r="AO18" s="32">
        <v>5</v>
      </c>
      <c r="AP18" s="32">
        <v>6</v>
      </c>
      <c r="AQ18" s="32"/>
      <c r="AR18" s="32"/>
      <c r="AS18" s="32"/>
      <c r="AT18" s="32"/>
      <c r="AU18" s="32"/>
      <c r="AV18" s="32"/>
      <c r="AZ18" s="40">
        <f t="shared" si="3"/>
        <v>176</v>
      </c>
      <c r="BA18" s="39" t="e">
        <f>VLOOKUP(C18,'2005Nationals'!$C$8:$M$31,11,FALSE)</f>
        <v>#N/A</v>
      </c>
      <c r="BB18" s="39">
        <f>VLOOKUP(C18,'2005NOOD'!$C$9:$K$26,9,FALSE)</f>
        <v>7</v>
      </c>
      <c r="BC18" s="39">
        <f>VLOOKUP('2005Season'!C18,'2005Crew'!$C$9:$H$16,6,FALSE)</f>
        <v>3</v>
      </c>
      <c r="BD18" s="39">
        <f t="shared" si="2"/>
        <v>2</v>
      </c>
    </row>
    <row r="19" spans="2:56" ht="11.25">
      <c r="B19" s="27">
        <v>9</v>
      </c>
      <c r="C19" s="40">
        <v>142</v>
      </c>
      <c r="D19" s="39" t="s">
        <v>410</v>
      </c>
      <c r="E19" s="32">
        <f t="shared" si="0"/>
        <v>37</v>
      </c>
      <c r="F19" s="32">
        <f t="shared" si="1"/>
        <v>3</v>
      </c>
      <c r="G19" s="33">
        <f>C_S_G($H19:AV19,$H$9:AV$9,csg_table,E$9,F19)</f>
        <v>0.7566628041714948</v>
      </c>
      <c r="H19" s="32">
        <v>7</v>
      </c>
      <c r="I19" s="32">
        <v>7</v>
      </c>
      <c r="J19" s="32">
        <v>10</v>
      </c>
      <c r="K19" s="32">
        <v>8</v>
      </c>
      <c r="L19" s="32">
        <v>8</v>
      </c>
      <c r="M19" s="32"/>
      <c r="N19" s="32">
        <v>5</v>
      </c>
      <c r="O19" s="32">
        <v>16</v>
      </c>
      <c r="P19" s="32">
        <v>14</v>
      </c>
      <c r="Q19" s="32">
        <v>13</v>
      </c>
      <c r="R19" s="32">
        <v>17</v>
      </c>
      <c r="S19" s="32">
        <v>12</v>
      </c>
      <c r="T19" s="32">
        <v>13</v>
      </c>
      <c r="U19" s="32">
        <v>7</v>
      </c>
      <c r="V19" s="32">
        <v>3</v>
      </c>
      <c r="W19" s="32"/>
      <c r="X19" s="32"/>
      <c r="Y19" s="32">
        <v>11</v>
      </c>
      <c r="Z19" s="32">
        <v>8</v>
      </c>
      <c r="AA19" s="32" t="s">
        <v>427</v>
      </c>
      <c r="AB19" s="32">
        <v>11</v>
      </c>
      <c r="AC19" s="32">
        <v>1</v>
      </c>
      <c r="AD19" s="32">
        <v>17</v>
      </c>
      <c r="AE19" s="32">
        <v>12</v>
      </c>
      <c r="AF19" s="32">
        <v>13</v>
      </c>
      <c r="AG19" s="32">
        <v>10</v>
      </c>
      <c r="AH19" s="32">
        <v>7</v>
      </c>
      <c r="AI19" s="32">
        <v>4</v>
      </c>
      <c r="AJ19" s="32">
        <v>2</v>
      </c>
      <c r="AK19" s="32">
        <v>4</v>
      </c>
      <c r="AL19" s="32">
        <v>1</v>
      </c>
      <c r="AM19" s="32">
        <v>4</v>
      </c>
      <c r="AN19" s="32">
        <v>5</v>
      </c>
      <c r="AO19" s="32">
        <v>1</v>
      </c>
      <c r="AP19" s="32">
        <v>3</v>
      </c>
      <c r="AQ19" s="32">
        <v>1</v>
      </c>
      <c r="AR19" s="32"/>
      <c r="AS19" s="32">
        <v>4</v>
      </c>
      <c r="AT19" s="32"/>
      <c r="AU19" s="32"/>
      <c r="AV19" s="32"/>
      <c r="AZ19" s="40">
        <f t="shared" si="3"/>
        <v>142</v>
      </c>
      <c r="BA19" s="39">
        <f>VLOOKUP(C19,'2005Nationals'!$C$8:$M$31,11,FALSE)</f>
        <v>20</v>
      </c>
      <c r="BB19" s="39">
        <f>VLOOKUP(C19,'2005NOOD'!$C$9:$K$26,9,FALSE)</f>
        <v>9</v>
      </c>
      <c r="BC19" s="39">
        <f>VLOOKUP('2005Season'!C19,'2005Crew'!$C$9:$H$16,6,FALSE)</f>
        <v>0</v>
      </c>
      <c r="BD19" s="39">
        <f t="shared" si="2"/>
        <v>3</v>
      </c>
    </row>
    <row r="20" spans="2:56" ht="11.25">
      <c r="B20" s="27">
        <v>10</v>
      </c>
      <c r="C20" s="40">
        <v>70</v>
      </c>
      <c r="D20" s="39" t="s">
        <v>409</v>
      </c>
      <c r="E20" s="32">
        <f t="shared" si="0"/>
        <v>32</v>
      </c>
      <c r="F20" s="32">
        <f t="shared" si="1"/>
        <v>3</v>
      </c>
      <c r="G20" s="33">
        <f>C_S_G($H20:AV20,$H$9:AV$9,csg_table,E$9,F20)</f>
        <v>0.7545612510860121</v>
      </c>
      <c r="H20" s="32">
        <v>11</v>
      </c>
      <c r="I20" s="32">
        <v>4</v>
      </c>
      <c r="J20" s="32">
        <v>8</v>
      </c>
      <c r="K20" s="32">
        <v>10</v>
      </c>
      <c r="L20" s="32">
        <v>6</v>
      </c>
      <c r="M20" s="32">
        <v>2</v>
      </c>
      <c r="N20" s="32">
        <v>6</v>
      </c>
      <c r="O20" s="32">
        <v>9</v>
      </c>
      <c r="P20" s="32">
        <v>8</v>
      </c>
      <c r="Q20" s="32">
        <v>15</v>
      </c>
      <c r="R20" s="32">
        <v>9</v>
      </c>
      <c r="S20" s="32">
        <v>16</v>
      </c>
      <c r="T20" s="32">
        <v>15</v>
      </c>
      <c r="U20" s="32">
        <v>2</v>
      </c>
      <c r="V20" s="32">
        <v>6</v>
      </c>
      <c r="W20" s="32">
        <v>4</v>
      </c>
      <c r="X20" s="32">
        <v>4</v>
      </c>
      <c r="Y20" s="32">
        <v>12</v>
      </c>
      <c r="Z20" s="32">
        <v>13</v>
      </c>
      <c r="AA20" s="32">
        <v>11</v>
      </c>
      <c r="AB20" s="32">
        <v>7</v>
      </c>
      <c r="AC20" s="32">
        <v>9</v>
      </c>
      <c r="AD20" s="32">
        <v>5</v>
      </c>
      <c r="AE20" s="32">
        <v>7</v>
      </c>
      <c r="AF20" s="32">
        <v>11</v>
      </c>
      <c r="AG20" s="32">
        <v>9</v>
      </c>
      <c r="AH20" s="32">
        <v>4</v>
      </c>
      <c r="AI20" s="32">
        <v>6</v>
      </c>
      <c r="AJ20" s="32"/>
      <c r="AK20" s="32"/>
      <c r="AL20" s="32"/>
      <c r="AM20" s="32"/>
      <c r="AN20" s="32"/>
      <c r="AO20" s="32"/>
      <c r="AP20" s="32"/>
      <c r="AQ20" s="32">
        <v>3</v>
      </c>
      <c r="AR20" s="32">
        <v>3</v>
      </c>
      <c r="AS20" s="32"/>
      <c r="AT20" s="32"/>
      <c r="AU20" s="32"/>
      <c r="AV20" s="32"/>
      <c r="AZ20" s="40">
        <f t="shared" si="3"/>
        <v>70</v>
      </c>
      <c r="BA20" s="39">
        <f>VLOOKUP(C20,'2005Nationals'!$C$8:$M$31,11,FALSE)</f>
        <v>23</v>
      </c>
      <c r="BB20" s="39">
        <f>VLOOKUP(C20,'2005NOOD'!$C$9:$K$26,9,FALSE)</f>
        <v>15</v>
      </c>
      <c r="BC20" s="39" t="e">
        <f>VLOOKUP('2005Season'!C20,'2005Crew'!$C$9:$H$16,6,FALSE)</f>
        <v>#N/A</v>
      </c>
      <c r="BD20" s="39">
        <f t="shared" si="2"/>
        <v>2</v>
      </c>
    </row>
    <row r="21" spans="2:56" ht="11.25">
      <c r="B21" s="27">
        <v>11</v>
      </c>
      <c r="C21" s="40">
        <v>183</v>
      </c>
      <c r="D21" s="39" t="s">
        <v>418</v>
      </c>
      <c r="E21" s="32">
        <f t="shared" si="0"/>
        <v>27</v>
      </c>
      <c r="F21" s="32">
        <f t="shared" si="1"/>
        <v>2</v>
      </c>
      <c r="G21" s="33">
        <f>C_S_G($H21:AV21,$H$9:AV$9,csg_table,E$9,F21)</f>
        <v>0.7448724362181091</v>
      </c>
      <c r="H21" s="32">
        <v>8</v>
      </c>
      <c r="I21" s="32">
        <v>9</v>
      </c>
      <c r="J21" s="32">
        <v>1</v>
      </c>
      <c r="K21" s="32">
        <v>5</v>
      </c>
      <c r="L21" s="32">
        <v>9</v>
      </c>
      <c r="M21" s="32"/>
      <c r="N21" s="32">
        <v>1</v>
      </c>
      <c r="O21" s="32">
        <v>11</v>
      </c>
      <c r="P21" s="32">
        <v>4</v>
      </c>
      <c r="Q21" s="32">
        <v>12</v>
      </c>
      <c r="R21" s="32" t="s">
        <v>191</v>
      </c>
      <c r="S21" s="32">
        <v>15</v>
      </c>
      <c r="T21" s="32">
        <v>12</v>
      </c>
      <c r="U21" s="32"/>
      <c r="V21" s="32"/>
      <c r="W21" s="32"/>
      <c r="X21" s="32"/>
      <c r="Y21" s="32">
        <v>10</v>
      </c>
      <c r="Z21" s="32">
        <v>11</v>
      </c>
      <c r="AA21" s="32">
        <v>12</v>
      </c>
      <c r="AB21" s="32">
        <v>6</v>
      </c>
      <c r="AC21" s="32">
        <v>7</v>
      </c>
      <c r="AD21" s="32">
        <v>13</v>
      </c>
      <c r="AE21" s="32">
        <v>13</v>
      </c>
      <c r="AF21" s="32">
        <v>8</v>
      </c>
      <c r="AG21" s="32"/>
      <c r="AH21" s="32"/>
      <c r="AI21" s="32"/>
      <c r="AJ21" s="32">
        <v>4</v>
      </c>
      <c r="AK21" s="32">
        <v>7</v>
      </c>
      <c r="AL21" s="32">
        <v>5</v>
      </c>
      <c r="AM21" s="32">
        <v>7</v>
      </c>
      <c r="AN21" s="32">
        <v>6</v>
      </c>
      <c r="AO21" s="32">
        <v>8</v>
      </c>
      <c r="AP21" s="32"/>
      <c r="AQ21" s="32"/>
      <c r="AR21" s="32"/>
      <c r="AS21" s="32"/>
      <c r="AT21" s="32"/>
      <c r="AU21" s="32"/>
      <c r="AV21" s="32"/>
      <c r="AZ21" s="40">
        <f t="shared" si="3"/>
        <v>183</v>
      </c>
      <c r="BA21" s="39">
        <f>VLOOKUP(C21,'2005Nationals'!$C$8:$M$31,11,FALSE)</f>
        <v>18</v>
      </c>
      <c r="BB21" s="39" t="e">
        <f>VLOOKUP(C21,'2005NOOD'!$C$9:$K$26,9,FALSE)</f>
        <v>#N/A</v>
      </c>
      <c r="BC21" s="39" t="e">
        <f>VLOOKUP('2005Season'!C21,'2005Crew'!$C$9:$H$16,6,FALSE)</f>
        <v>#N/A</v>
      </c>
      <c r="BD21" s="39">
        <f t="shared" si="2"/>
        <v>1</v>
      </c>
    </row>
    <row r="22" spans="2:56" ht="11.25">
      <c r="B22" s="27">
        <v>12</v>
      </c>
      <c r="C22" s="40">
        <v>41</v>
      </c>
      <c r="D22" s="39" t="s">
        <v>417</v>
      </c>
      <c r="E22" s="32">
        <f t="shared" si="0"/>
        <v>23</v>
      </c>
      <c r="F22" s="32">
        <f t="shared" si="1"/>
        <v>2</v>
      </c>
      <c r="G22" s="33">
        <f>C_S_G($H22:AV22,$H$9:AV$9,csg_table,E$9,F22)</f>
        <v>0.7129217059197963</v>
      </c>
      <c r="H22" s="32"/>
      <c r="I22" s="32"/>
      <c r="J22" s="32"/>
      <c r="K22" s="32"/>
      <c r="L22" s="32"/>
      <c r="M22" s="32"/>
      <c r="N22" s="32">
        <v>9</v>
      </c>
      <c r="O22" s="32">
        <v>15</v>
      </c>
      <c r="P22" s="32" t="s">
        <v>299</v>
      </c>
      <c r="Q22" s="32"/>
      <c r="R22" s="32"/>
      <c r="S22" s="32"/>
      <c r="T22" s="32"/>
      <c r="U22" s="32">
        <v>8</v>
      </c>
      <c r="V22" s="32">
        <v>8</v>
      </c>
      <c r="W22" s="32">
        <v>8</v>
      </c>
      <c r="X22" s="32"/>
      <c r="Y22" s="32">
        <v>13</v>
      </c>
      <c r="Z22" s="32">
        <v>10</v>
      </c>
      <c r="AA22" s="32">
        <v>9</v>
      </c>
      <c r="AB22" s="32">
        <v>9</v>
      </c>
      <c r="AC22" s="32">
        <v>8</v>
      </c>
      <c r="AD22" s="32">
        <v>14</v>
      </c>
      <c r="AE22" s="32">
        <v>14</v>
      </c>
      <c r="AF22" s="32">
        <v>14</v>
      </c>
      <c r="AG22" s="32">
        <v>3</v>
      </c>
      <c r="AH22" s="32">
        <v>6</v>
      </c>
      <c r="AI22" s="32">
        <v>8</v>
      </c>
      <c r="AJ22" s="32"/>
      <c r="AK22" s="32"/>
      <c r="AL22" s="32"/>
      <c r="AM22" s="32"/>
      <c r="AN22" s="32"/>
      <c r="AO22" s="32"/>
      <c r="AP22" s="32"/>
      <c r="AQ22" s="32"/>
      <c r="AR22" s="32"/>
      <c r="AS22" s="32">
        <v>5</v>
      </c>
      <c r="AT22" s="32">
        <v>4</v>
      </c>
      <c r="AU22" s="32">
        <v>4</v>
      </c>
      <c r="AV22" s="32">
        <v>3</v>
      </c>
      <c r="AZ22" s="40">
        <f t="shared" si="3"/>
        <v>41</v>
      </c>
      <c r="BA22" s="39" t="e">
        <f>VLOOKUP(C22,'2005Nationals'!$C$8:$M$31,11,FALSE)</f>
        <v>#N/A</v>
      </c>
      <c r="BB22" s="39">
        <f>VLOOKUP(C22,'2005NOOD'!$C$9:$K$26,9,FALSE)</f>
        <v>18</v>
      </c>
      <c r="BC22" s="39">
        <f>VLOOKUP('2005Season'!C22,'2005Crew'!$C$9:$H$16,6,FALSE)</f>
        <v>1</v>
      </c>
      <c r="BD22" s="39">
        <f t="shared" si="2"/>
        <v>2</v>
      </c>
    </row>
    <row r="23" spans="2:56" ht="11.25">
      <c r="B23" s="27">
        <v>13</v>
      </c>
      <c r="C23" s="40">
        <v>197</v>
      </c>
      <c r="D23" s="39" t="s">
        <v>411</v>
      </c>
      <c r="E23" s="32">
        <f t="shared" si="0"/>
        <v>27</v>
      </c>
      <c r="F23" s="32">
        <f t="shared" si="1"/>
        <v>2</v>
      </c>
      <c r="G23" s="33">
        <f>C_S_G($H23:AV23,$H$9:AV$9,csg_table,E$9,F23)</f>
        <v>0.7021897810218978</v>
      </c>
      <c r="H23" s="32">
        <v>9</v>
      </c>
      <c r="I23" s="32">
        <v>8</v>
      </c>
      <c r="J23" s="32">
        <v>9</v>
      </c>
      <c r="K23" s="32">
        <v>11</v>
      </c>
      <c r="L23" s="32">
        <v>10</v>
      </c>
      <c r="M23" s="32">
        <v>7</v>
      </c>
      <c r="N23" s="32"/>
      <c r="O23" s="32">
        <v>8</v>
      </c>
      <c r="P23" s="32">
        <v>15</v>
      </c>
      <c r="Q23" s="32">
        <v>10</v>
      </c>
      <c r="R23" s="32">
        <v>16</v>
      </c>
      <c r="S23" s="32">
        <v>13</v>
      </c>
      <c r="T23" s="32">
        <v>18</v>
      </c>
      <c r="U23" s="32"/>
      <c r="V23" s="32"/>
      <c r="W23" s="32">
        <v>5</v>
      </c>
      <c r="X23" s="32">
        <v>5</v>
      </c>
      <c r="Y23" s="32">
        <v>8</v>
      </c>
      <c r="Z23" s="32">
        <v>12</v>
      </c>
      <c r="AA23" s="32">
        <v>10</v>
      </c>
      <c r="AB23" s="32">
        <v>15</v>
      </c>
      <c r="AC23" s="32"/>
      <c r="AD23" s="32">
        <v>12</v>
      </c>
      <c r="AE23" s="32">
        <v>9</v>
      </c>
      <c r="AF23" s="32">
        <v>9</v>
      </c>
      <c r="AG23" s="32">
        <v>7</v>
      </c>
      <c r="AH23" s="32"/>
      <c r="AI23" s="32"/>
      <c r="AJ23" s="32"/>
      <c r="AK23" s="32"/>
      <c r="AL23" s="32"/>
      <c r="AM23" s="32"/>
      <c r="AN23" s="32"/>
      <c r="AO23" s="32"/>
      <c r="AP23" s="32"/>
      <c r="AQ23" s="32"/>
      <c r="AR23" s="32"/>
      <c r="AS23" s="32">
        <v>6</v>
      </c>
      <c r="AT23" s="32">
        <v>5</v>
      </c>
      <c r="AU23" s="32">
        <v>6</v>
      </c>
      <c r="AV23" s="32">
        <v>5</v>
      </c>
      <c r="AZ23" s="40">
        <f t="shared" si="3"/>
        <v>197</v>
      </c>
      <c r="BA23" s="39" t="e">
        <f>VLOOKUP(C23,'2005Nationals'!$C$8:$M$31,11,FALSE)</f>
        <v>#N/A</v>
      </c>
      <c r="BB23" s="39">
        <f>VLOOKUP(C23,'2005NOOD'!$C$9:$K$26,9,FALSE)</f>
        <v>11</v>
      </c>
      <c r="BC23" s="39" t="e">
        <f>VLOOKUP('2005Season'!C23,'2005Crew'!$C$9:$H$16,6,FALSE)</f>
        <v>#N/A</v>
      </c>
      <c r="BD23" s="39">
        <f t="shared" si="2"/>
        <v>1</v>
      </c>
    </row>
    <row r="24" spans="2:56" ht="11.25">
      <c r="B24" s="27">
        <v>14</v>
      </c>
      <c r="C24" s="40">
        <v>117</v>
      </c>
      <c r="D24" s="39" t="s">
        <v>405</v>
      </c>
      <c r="E24" s="32">
        <f t="shared" si="0"/>
        <v>35</v>
      </c>
      <c r="F24" s="32">
        <f t="shared" si="1"/>
        <v>3</v>
      </c>
      <c r="G24" s="33">
        <f>C_S_G($H24:AV24,$H$9:AV$9,csg_table,E$9,F24)</f>
        <v>0.6810273405136703</v>
      </c>
      <c r="H24" s="32">
        <v>12</v>
      </c>
      <c r="I24" s="32">
        <v>12</v>
      </c>
      <c r="J24" s="32">
        <v>11</v>
      </c>
      <c r="K24" s="32">
        <v>9</v>
      </c>
      <c r="L24" s="32"/>
      <c r="M24" s="32">
        <v>5</v>
      </c>
      <c r="N24" s="32">
        <v>10</v>
      </c>
      <c r="O24" s="32">
        <v>18</v>
      </c>
      <c r="P24" s="32">
        <v>17</v>
      </c>
      <c r="Q24" s="32">
        <v>17</v>
      </c>
      <c r="R24" s="32">
        <v>18</v>
      </c>
      <c r="S24" s="32">
        <v>18</v>
      </c>
      <c r="T24" s="32">
        <v>16</v>
      </c>
      <c r="U24" s="32">
        <v>10</v>
      </c>
      <c r="V24" s="32">
        <v>7</v>
      </c>
      <c r="W24" s="32">
        <v>9</v>
      </c>
      <c r="X24" s="32">
        <v>7</v>
      </c>
      <c r="Y24" s="32"/>
      <c r="Z24" s="32"/>
      <c r="AA24" s="32"/>
      <c r="AB24" s="32">
        <v>13</v>
      </c>
      <c r="AC24" s="32">
        <v>14</v>
      </c>
      <c r="AD24" s="32">
        <v>15</v>
      </c>
      <c r="AE24" s="32">
        <v>15</v>
      </c>
      <c r="AF24" s="32">
        <v>12</v>
      </c>
      <c r="AG24" s="32" t="s">
        <v>299</v>
      </c>
      <c r="AH24" s="32">
        <v>2</v>
      </c>
      <c r="AI24" s="32">
        <v>5</v>
      </c>
      <c r="AJ24" s="32">
        <v>7</v>
      </c>
      <c r="AK24" s="32">
        <v>5</v>
      </c>
      <c r="AL24" s="32">
        <v>4</v>
      </c>
      <c r="AM24" s="32">
        <v>6</v>
      </c>
      <c r="AN24" s="32">
        <v>7</v>
      </c>
      <c r="AO24" s="32">
        <v>6</v>
      </c>
      <c r="AP24" s="32">
        <v>5</v>
      </c>
      <c r="AQ24" s="32">
        <v>5</v>
      </c>
      <c r="AR24" s="32">
        <v>4</v>
      </c>
      <c r="AS24" s="32"/>
      <c r="AT24" s="32"/>
      <c r="AU24" s="32"/>
      <c r="AV24" s="32"/>
      <c r="AZ24" s="40">
        <f t="shared" si="3"/>
        <v>117</v>
      </c>
      <c r="BA24" s="39">
        <f>VLOOKUP(C24,'2005Nationals'!$C$8:$M$31,11,FALSE)</f>
        <v>19</v>
      </c>
      <c r="BB24" s="39">
        <f>VLOOKUP(C24,'2005NOOD'!$C$9:$K$26,9,FALSE)</f>
        <v>12</v>
      </c>
      <c r="BC24" s="39" t="e">
        <f>VLOOKUP('2005Season'!C24,'2005Crew'!$C$9:$H$16,6,FALSE)</f>
        <v>#N/A</v>
      </c>
      <c r="BD24" s="39">
        <f t="shared" si="2"/>
        <v>2</v>
      </c>
    </row>
    <row r="25" spans="2:56" ht="11.25">
      <c r="B25" s="27">
        <v>15</v>
      </c>
      <c r="C25" s="50">
        <v>38</v>
      </c>
      <c r="D25" s="60" t="s">
        <v>404</v>
      </c>
      <c r="E25" s="34">
        <f t="shared" si="0"/>
        <v>29</v>
      </c>
      <c r="F25" s="34">
        <f t="shared" si="1"/>
        <v>2</v>
      </c>
      <c r="G25" s="35">
        <f>C_S_G($H25:AV25,$H$9:AV$9,csg_table,E$9,F25)</f>
        <v>0.6538461538461539</v>
      </c>
      <c r="H25" s="34"/>
      <c r="I25" s="34"/>
      <c r="J25" s="34"/>
      <c r="K25" s="34"/>
      <c r="L25" s="34">
        <v>11</v>
      </c>
      <c r="M25" s="34">
        <v>10</v>
      </c>
      <c r="N25" s="34">
        <v>12</v>
      </c>
      <c r="O25" s="34">
        <v>14</v>
      </c>
      <c r="P25" s="34">
        <v>12</v>
      </c>
      <c r="Q25" s="34">
        <v>16</v>
      </c>
      <c r="R25" s="34">
        <v>19</v>
      </c>
      <c r="S25" s="34" t="s">
        <v>360</v>
      </c>
      <c r="T25" s="34">
        <v>17</v>
      </c>
      <c r="U25" s="34">
        <v>9</v>
      </c>
      <c r="V25" s="34" t="s">
        <v>299</v>
      </c>
      <c r="W25" s="34">
        <v>7</v>
      </c>
      <c r="X25" s="34"/>
      <c r="Y25" s="34">
        <v>15</v>
      </c>
      <c r="Z25" s="34">
        <v>14</v>
      </c>
      <c r="AA25" s="34">
        <v>13</v>
      </c>
      <c r="AB25" s="34"/>
      <c r="AC25" s="34"/>
      <c r="AD25" s="34">
        <v>16</v>
      </c>
      <c r="AE25" s="34">
        <v>16</v>
      </c>
      <c r="AF25" s="34"/>
      <c r="AG25" s="34">
        <v>12</v>
      </c>
      <c r="AH25" s="34">
        <v>8</v>
      </c>
      <c r="AI25" s="34">
        <v>7</v>
      </c>
      <c r="AJ25" s="34"/>
      <c r="AK25" s="34"/>
      <c r="AL25" s="34"/>
      <c r="AM25" s="34"/>
      <c r="AN25" s="34">
        <v>8</v>
      </c>
      <c r="AO25" s="34">
        <v>7</v>
      </c>
      <c r="AP25" s="34">
        <v>7</v>
      </c>
      <c r="AQ25" s="34" t="s">
        <v>299</v>
      </c>
      <c r="AR25" s="34"/>
      <c r="AS25" s="34">
        <v>7</v>
      </c>
      <c r="AT25" s="34">
        <v>6</v>
      </c>
      <c r="AU25" s="34">
        <v>5</v>
      </c>
      <c r="AV25" s="34" t="s">
        <v>299</v>
      </c>
      <c r="AZ25" s="40">
        <f t="shared" si="3"/>
        <v>38</v>
      </c>
      <c r="BA25" s="39" t="e">
        <f>VLOOKUP(C25,'2005Nationals'!$C$8:$M$31,11,FALSE)</f>
        <v>#N/A</v>
      </c>
      <c r="BB25" s="39" t="e">
        <f>VLOOKUP(C25,'2005NOOD'!$C$9:$K$26,9,FALSE)</f>
        <v>#N/A</v>
      </c>
      <c r="BC25" s="39">
        <f>VLOOKUP('2005Season'!C25,'2005Crew'!$C$9:$H$16,6,FALSE)</f>
        <v>5</v>
      </c>
      <c r="BD25" s="39">
        <f t="shared" si="2"/>
        <v>1</v>
      </c>
    </row>
    <row r="26" spans="3:56" ht="11.25">
      <c r="C26" s="40">
        <v>26</v>
      </c>
      <c r="D26" s="39" t="s">
        <v>413</v>
      </c>
      <c r="E26" s="32">
        <f t="shared" si="0"/>
        <v>9</v>
      </c>
      <c r="F26" s="32">
        <f t="shared" si="1"/>
        <v>0</v>
      </c>
      <c r="G26" s="33">
        <f>C_S_G($H26:AV26,$H$9:AV$9,csg_table,E$9,F26)</f>
        <v>0.7912912912912913</v>
      </c>
      <c r="H26" s="32"/>
      <c r="I26" s="32"/>
      <c r="J26" s="32"/>
      <c r="K26" s="32"/>
      <c r="L26" s="32"/>
      <c r="M26" s="32"/>
      <c r="N26" s="32"/>
      <c r="O26" s="32"/>
      <c r="P26" s="32"/>
      <c r="Q26" s="32"/>
      <c r="R26" s="32"/>
      <c r="S26" s="32"/>
      <c r="T26" s="32"/>
      <c r="U26" s="32"/>
      <c r="V26" s="32"/>
      <c r="W26" s="32"/>
      <c r="X26" s="32"/>
      <c r="Y26" s="32">
        <v>14</v>
      </c>
      <c r="Z26" s="32">
        <v>4</v>
      </c>
      <c r="AA26" s="32">
        <v>1</v>
      </c>
      <c r="AB26" s="32">
        <v>8</v>
      </c>
      <c r="AC26" s="32">
        <v>13</v>
      </c>
      <c r="AD26" s="32">
        <v>7</v>
      </c>
      <c r="AE26" s="32"/>
      <c r="AF26" s="32">
        <v>3</v>
      </c>
      <c r="AG26" s="32"/>
      <c r="AH26" s="32"/>
      <c r="AI26" s="32"/>
      <c r="AJ26" s="32"/>
      <c r="AK26" s="32"/>
      <c r="AL26" s="32"/>
      <c r="AM26" s="32"/>
      <c r="AN26" s="32"/>
      <c r="AO26" s="32"/>
      <c r="AP26" s="32"/>
      <c r="AQ26" s="32"/>
      <c r="AR26" s="32"/>
      <c r="AS26" s="32"/>
      <c r="AT26" s="32"/>
      <c r="AU26" s="32"/>
      <c r="AV26" s="32"/>
      <c r="AZ26" s="40">
        <f t="shared" si="3"/>
        <v>26</v>
      </c>
      <c r="BA26" s="39">
        <f>VLOOKUP(C26,'2005Nationals'!$C$8:$M$31,11,FALSE)</f>
        <v>22</v>
      </c>
      <c r="BB26" s="39">
        <f>VLOOKUP(C26,'2005NOOD'!$C$9:$K$26,9,FALSE)</f>
        <v>16</v>
      </c>
      <c r="BC26" s="39" t="e">
        <f>VLOOKUP('2005Season'!C26,'2005Crew'!$C$9:$H$16,6,FALSE)</f>
        <v>#N/A</v>
      </c>
      <c r="BD26" s="39">
        <f t="shared" si="2"/>
        <v>2</v>
      </c>
    </row>
    <row r="27" spans="3:56" ht="11.25">
      <c r="C27" s="40">
        <v>54</v>
      </c>
      <c r="D27" s="39" t="s">
        <v>414</v>
      </c>
      <c r="E27" s="32">
        <f t="shared" si="0"/>
        <v>6</v>
      </c>
      <c r="F27" s="32">
        <f t="shared" si="1"/>
        <v>0</v>
      </c>
      <c r="G27" s="33">
        <f>C_S_G($H27:AV27,$H$9:AV$9,csg_table,E$9,F27)</f>
        <v>0.7109004739336493</v>
      </c>
      <c r="H27" s="32"/>
      <c r="I27" s="32"/>
      <c r="J27" s="32"/>
      <c r="K27" s="32"/>
      <c r="L27" s="32"/>
      <c r="M27" s="32"/>
      <c r="N27" s="32"/>
      <c r="O27" s="32"/>
      <c r="P27" s="32"/>
      <c r="Q27" s="32"/>
      <c r="R27" s="32">
        <v>12</v>
      </c>
      <c r="S27" s="32">
        <v>14</v>
      </c>
      <c r="T27" s="32">
        <v>14</v>
      </c>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v>3</v>
      </c>
      <c r="AT27" s="32">
        <v>3</v>
      </c>
      <c r="AU27" s="32"/>
      <c r="AV27" s="32"/>
      <c r="AZ27" s="40">
        <f t="shared" si="3"/>
        <v>54</v>
      </c>
      <c r="BA27" s="39" t="e">
        <f>VLOOKUP(C27,'2005Nationals'!$C$8:$M$31,11,FALSE)</f>
        <v>#N/A</v>
      </c>
      <c r="BB27" s="39" t="e">
        <f>VLOOKUP(C27,'2005NOOD'!$C$9:$K$26,9,FALSE)</f>
        <v>#N/A</v>
      </c>
      <c r="BC27" s="39">
        <f>VLOOKUP('2005Season'!C27,'2005Crew'!$C$9:$H$16,6,FALSE)</f>
        <v>2</v>
      </c>
      <c r="BD27" s="39">
        <f t="shared" si="2"/>
        <v>1</v>
      </c>
    </row>
    <row r="28" spans="3:56" ht="11.25">
      <c r="C28" s="40">
        <v>5</v>
      </c>
      <c r="D28" s="39" t="s">
        <v>408</v>
      </c>
      <c r="E28" s="32">
        <f t="shared" si="0"/>
        <v>14</v>
      </c>
      <c r="F28" s="32">
        <f t="shared" si="1"/>
        <v>1</v>
      </c>
      <c r="G28" s="33">
        <f>C_S_G($H28:AV28,$H$9:AV$9,csg_table,E$9,F28)</f>
        <v>0.6578690127077224</v>
      </c>
      <c r="H28" s="32">
        <v>10</v>
      </c>
      <c r="I28" s="32">
        <v>11</v>
      </c>
      <c r="J28" s="32"/>
      <c r="K28" s="32"/>
      <c r="L28" s="32">
        <v>12</v>
      </c>
      <c r="M28" s="32">
        <v>11</v>
      </c>
      <c r="N28" s="32">
        <v>11</v>
      </c>
      <c r="O28" s="32">
        <v>17</v>
      </c>
      <c r="P28" s="32">
        <v>18</v>
      </c>
      <c r="Q28" s="32"/>
      <c r="R28" s="32">
        <v>13</v>
      </c>
      <c r="S28" s="32">
        <v>17</v>
      </c>
      <c r="T28" s="32"/>
      <c r="U28" s="32"/>
      <c r="V28" s="32"/>
      <c r="W28" s="32">
        <v>6</v>
      </c>
      <c r="X28" s="32">
        <v>6</v>
      </c>
      <c r="Y28" s="32"/>
      <c r="Z28" s="32"/>
      <c r="AA28" s="32"/>
      <c r="AB28" s="32"/>
      <c r="AC28" s="32"/>
      <c r="AD28" s="32"/>
      <c r="AE28" s="32"/>
      <c r="AF28" s="32"/>
      <c r="AG28" s="32"/>
      <c r="AH28" s="32"/>
      <c r="AI28" s="32"/>
      <c r="AJ28" s="32">
        <v>8</v>
      </c>
      <c r="AK28" s="32" t="s">
        <v>299</v>
      </c>
      <c r="AL28" s="32"/>
      <c r="AM28" s="32"/>
      <c r="AN28" s="32"/>
      <c r="AO28" s="32"/>
      <c r="AP28" s="32"/>
      <c r="AQ28" s="32"/>
      <c r="AR28" s="32"/>
      <c r="AS28" s="32"/>
      <c r="AT28" s="32"/>
      <c r="AU28" s="32"/>
      <c r="AV28" s="32"/>
      <c r="AZ28" s="40">
        <f t="shared" si="3"/>
        <v>5</v>
      </c>
      <c r="BA28" s="39">
        <f>VLOOKUP(C28,'2005Nationals'!$C$8:$M$31,11,FALSE)</f>
        <v>24</v>
      </c>
      <c r="BB28" s="39" t="e">
        <f>VLOOKUP(C28,'2005NOOD'!$C$9:$K$26,9,FALSE)</f>
        <v>#N/A</v>
      </c>
      <c r="BC28" s="39" t="e">
        <f>VLOOKUP('2005Season'!C28,'2005Crew'!$C$9:$H$16,6,FALSE)</f>
        <v>#N/A</v>
      </c>
      <c r="BD28" s="39">
        <f t="shared" si="2"/>
        <v>1</v>
      </c>
    </row>
    <row r="29" spans="3:56" ht="11.25">
      <c r="C29" s="50">
        <v>16</v>
      </c>
      <c r="D29" s="60" t="s">
        <v>416</v>
      </c>
      <c r="E29" s="34">
        <f t="shared" si="0"/>
        <v>6</v>
      </c>
      <c r="F29" s="34">
        <f t="shared" si="1"/>
        <v>0</v>
      </c>
      <c r="G29" s="35">
        <f>C_S_G($H29:AV29,$H$9:AV$9,csg_table,E$9,F29)</f>
        <v>0.620983491365684</v>
      </c>
      <c r="H29" s="34"/>
      <c r="I29" s="34"/>
      <c r="J29" s="34"/>
      <c r="K29" s="34"/>
      <c r="L29" s="34">
        <v>13</v>
      </c>
      <c r="M29" s="34">
        <v>9</v>
      </c>
      <c r="N29" s="34"/>
      <c r="O29" s="34" t="s">
        <v>299</v>
      </c>
      <c r="P29" s="34"/>
      <c r="Q29" s="34"/>
      <c r="R29" s="34"/>
      <c r="S29" s="34"/>
      <c r="T29" s="34"/>
      <c r="U29" s="34"/>
      <c r="V29" s="34"/>
      <c r="W29" s="34"/>
      <c r="X29" s="34"/>
      <c r="Y29" s="34"/>
      <c r="Z29" s="34"/>
      <c r="AA29" s="34"/>
      <c r="AB29" s="34">
        <v>17</v>
      </c>
      <c r="AC29" s="34">
        <v>15</v>
      </c>
      <c r="AD29" s="34"/>
      <c r="AE29" s="34"/>
      <c r="AF29" s="34" t="s">
        <v>299</v>
      </c>
      <c r="AG29" s="34"/>
      <c r="AH29" s="34"/>
      <c r="AI29" s="34"/>
      <c r="AJ29" s="34"/>
      <c r="AK29" s="34"/>
      <c r="AL29" s="34"/>
      <c r="AM29" s="34"/>
      <c r="AN29" s="34"/>
      <c r="AO29" s="34"/>
      <c r="AP29" s="34"/>
      <c r="AQ29" s="34"/>
      <c r="AR29" s="34"/>
      <c r="AS29" s="34"/>
      <c r="AT29" s="34"/>
      <c r="AU29" s="34"/>
      <c r="AV29" s="34"/>
      <c r="AZ29" s="40">
        <f t="shared" si="3"/>
        <v>16</v>
      </c>
      <c r="BA29" s="39" t="e">
        <f>VLOOKUP(C29,'2005Nationals'!$C$8:$M$31,11,FALSE)</f>
        <v>#N/A</v>
      </c>
      <c r="BB29" s="39" t="e">
        <f>VLOOKUP(C29,'2005NOOD'!$C$9:$K$26,9,FALSE)</f>
        <v>#N/A</v>
      </c>
      <c r="BC29" s="39" t="e">
        <f>VLOOKUP('2005Season'!C29,'2005Crew'!$C$9:$H$16,6,FALSE)</f>
        <v>#N/A</v>
      </c>
      <c r="BD29" s="39">
        <f t="shared" si="2"/>
        <v>0</v>
      </c>
    </row>
    <row r="30" spans="3:56" ht="11.25">
      <c r="C30" s="40">
        <v>239</v>
      </c>
      <c r="D30" s="39" t="s">
        <v>661</v>
      </c>
      <c r="E30" s="32">
        <f t="shared" si="0"/>
        <v>4</v>
      </c>
      <c r="F30" s="32">
        <f t="shared" si="1"/>
        <v>0</v>
      </c>
      <c r="G30" s="33">
        <f>C_S_G($H30:AV30,$H$9:AV$9,csg_table,E$9,F30)</f>
        <v>1</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v>1</v>
      </c>
      <c r="AV30" s="32">
        <v>1</v>
      </c>
      <c r="AZ30" s="40">
        <f t="shared" si="3"/>
        <v>239</v>
      </c>
      <c r="BA30" s="39">
        <f>VLOOKUP(C30,'2005Nationals'!$C$8:$M$31,11,FALSE)</f>
        <v>2</v>
      </c>
      <c r="BB30" s="39">
        <f>VLOOKUP(C30,'2005NOOD'!$C$9:$K$26,9,FALSE)</f>
        <v>3</v>
      </c>
      <c r="BC30" s="39" t="e">
        <f>VLOOKUP('2005Season'!C30,'2005Crew'!$C$9:$H$16,6,FALSE)</f>
        <v>#N/A</v>
      </c>
      <c r="BD30" s="39">
        <f t="shared" si="2"/>
        <v>2</v>
      </c>
    </row>
    <row r="31" spans="3:56" ht="11.25">
      <c r="C31" s="40">
        <v>57</v>
      </c>
      <c r="D31" s="39" t="s">
        <v>518</v>
      </c>
      <c r="E31" s="32">
        <f t="shared" si="0"/>
        <v>6</v>
      </c>
      <c r="F31" s="32">
        <f t="shared" si="1"/>
        <v>0</v>
      </c>
      <c r="G31" s="33">
        <f>C_S_G($H31:AV31,$H$9:AV$9,csg_table,E$9,F31)</f>
        <v>0.9375</v>
      </c>
      <c r="H31" s="32"/>
      <c r="I31" s="32"/>
      <c r="J31" s="32"/>
      <c r="K31" s="32"/>
      <c r="L31" s="32"/>
      <c r="M31" s="32"/>
      <c r="N31" s="32"/>
      <c r="O31" s="32">
        <v>1</v>
      </c>
      <c r="P31" s="32">
        <v>5</v>
      </c>
      <c r="Q31" s="32">
        <v>1</v>
      </c>
      <c r="R31" s="32">
        <v>2</v>
      </c>
      <c r="S31" s="32">
        <v>1</v>
      </c>
      <c r="T31" s="32">
        <v>4</v>
      </c>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Z31" s="40">
        <f t="shared" si="3"/>
        <v>57</v>
      </c>
      <c r="BA31" s="39" t="e">
        <f>VLOOKUP(C31,'2005Nationals'!$C$8:$M$31,11,FALSE)</f>
        <v>#N/A</v>
      </c>
      <c r="BB31" s="39" t="e">
        <f>VLOOKUP(C31,'2005NOOD'!$C$9:$K$26,9,FALSE)</f>
        <v>#N/A</v>
      </c>
      <c r="BC31" s="39" t="e">
        <f>VLOOKUP('2005Season'!C31,'2005Crew'!$C$9:$H$16,6,FALSE)</f>
        <v>#N/A</v>
      </c>
      <c r="BD31" s="39"/>
    </row>
    <row r="32" spans="3:56" ht="11.25">
      <c r="C32" s="40">
        <v>83</v>
      </c>
      <c r="D32" s="39" t="s">
        <v>519</v>
      </c>
      <c r="E32" s="32">
        <f t="shared" si="0"/>
        <v>10</v>
      </c>
      <c r="F32" s="32">
        <f t="shared" si="1"/>
        <v>1</v>
      </c>
      <c r="G32" s="33">
        <f>C_S_G($H32:AV32,$H$9:AV$9,csg_table,E$9,F32)</f>
        <v>0.7457434733257662</v>
      </c>
      <c r="H32" s="32"/>
      <c r="I32" s="32"/>
      <c r="J32" s="32"/>
      <c r="K32" s="32"/>
      <c r="L32" s="32"/>
      <c r="M32" s="32"/>
      <c r="N32" s="32"/>
      <c r="O32" s="32">
        <v>6</v>
      </c>
      <c r="P32" s="32">
        <v>10</v>
      </c>
      <c r="Q32" s="32">
        <v>7</v>
      </c>
      <c r="R32" s="32">
        <v>11</v>
      </c>
      <c r="S32" s="32">
        <v>9</v>
      </c>
      <c r="T32" s="32">
        <v>2</v>
      </c>
      <c r="U32" s="32"/>
      <c r="V32" s="32"/>
      <c r="W32" s="32"/>
      <c r="X32" s="32"/>
      <c r="Y32" s="32"/>
      <c r="Z32" s="32"/>
      <c r="AA32" s="32"/>
      <c r="AB32" s="32">
        <v>16</v>
      </c>
      <c r="AC32" s="32">
        <v>12</v>
      </c>
      <c r="AD32" s="32">
        <v>11</v>
      </c>
      <c r="AE32" s="32">
        <v>11</v>
      </c>
      <c r="AF32" s="32"/>
      <c r="AG32" s="32"/>
      <c r="AH32" s="32"/>
      <c r="AI32" s="32"/>
      <c r="AJ32" s="32"/>
      <c r="AK32" s="32"/>
      <c r="AL32" s="32"/>
      <c r="AM32" s="32"/>
      <c r="AN32" s="32"/>
      <c r="AO32" s="32"/>
      <c r="AP32" s="32"/>
      <c r="AQ32" s="32"/>
      <c r="AR32" s="32"/>
      <c r="AS32" s="32"/>
      <c r="AT32" s="32"/>
      <c r="AU32" s="32"/>
      <c r="AV32" s="32"/>
      <c r="AZ32" s="40">
        <f t="shared" si="3"/>
        <v>83</v>
      </c>
      <c r="BA32" s="39" t="e">
        <f>VLOOKUP(C32,'2005Nationals'!$C$8:$M$31,11,FALSE)</f>
        <v>#N/A</v>
      </c>
      <c r="BB32" s="39" t="e">
        <f>VLOOKUP(C32,'2005NOOD'!$C$9:$K$26,9,FALSE)</f>
        <v>#N/A</v>
      </c>
      <c r="BC32" s="39" t="e">
        <f>VLOOKUP('2005Season'!C32,'2005Crew'!$C$9:$H$16,6,FALSE)</f>
        <v>#N/A</v>
      </c>
      <c r="BD32" s="39"/>
    </row>
    <row r="33" spans="3:56" ht="11.25">
      <c r="C33" s="40">
        <v>246</v>
      </c>
      <c r="D33" s="39" t="s">
        <v>358</v>
      </c>
      <c r="E33" s="32">
        <f t="shared" si="0"/>
        <v>6</v>
      </c>
      <c r="F33" s="32">
        <f t="shared" si="1"/>
        <v>0</v>
      </c>
      <c r="G33" s="33">
        <f>C_S_G($H33:AV33,$H$9:AV$9,csg_table,E$9,F33)</f>
        <v>0.7516891891891891</v>
      </c>
      <c r="H33" s="32"/>
      <c r="I33" s="32"/>
      <c r="J33" s="32"/>
      <c r="K33" s="32"/>
      <c r="L33" s="32"/>
      <c r="M33" s="32"/>
      <c r="N33" s="32"/>
      <c r="O33" s="32">
        <v>4</v>
      </c>
      <c r="P33" s="32">
        <v>13</v>
      </c>
      <c r="Q33" s="32">
        <v>4</v>
      </c>
      <c r="R33" s="32">
        <v>14</v>
      </c>
      <c r="S33" s="32">
        <v>11</v>
      </c>
      <c r="T33" s="32">
        <v>6</v>
      </c>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Z33" s="40">
        <f t="shared" si="3"/>
        <v>246</v>
      </c>
      <c r="BA33" s="39" t="e">
        <f>VLOOKUP(C33,'2005Nationals'!$C$8:$M$31,11,FALSE)</f>
        <v>#N/A</v>
      </c>
      <c r="BB33" s="39" t="e">
        <f>VLOOKUP(C33,'2005NOOD'!$C$9:$K$26,9,FALSE)</f>
        <v>#N/A</v>
      </c>
      <c r="BC33" s="39" t="e">
        <f>VLOOKUP('2005Season'!C33,'2005Crew'!$C$9:$H$16,6,FALSE)</f>
        <v>#N/A</v>
      </c>
      <c r="BD33" s="39"/>
    </row>
    <row r="34" spans="3:56" ht="11.25">
      <c r="C34" s="40">
        <v>87</v>
      </c>
      <c r="D34" s="39" t="s">
        <v>520</v>
      </c>
      <c r="E34" s="32">
        <f t="shared" si="0"/>
        <v>6</v>
      </c>
      <c r="F34" s="32">
        <f t="shared" si="1"/>
        <v>0</v>
      </c>
      <c r="G34" s="33">
        <f>C_S_G($H34:AV34,$H$9:AV$9,csg_table,E$9,F34)</f>
        <v>0.7246621621621622</v>
      </c>
      <c r="H34" s="32"/>
      <c r="I34" s="32"/>
      <c r="J34" s="32"/>
      <c r="K34" s="32"/>
      <c r="L34" s="32"/>
      <c r="M34" s="32"/>
      <c r="N34" s="32"/>
      <c r="O34" s="32">
        <v>12</v>
      </c>
      <c r="P34" s="32">
        <v>16</v>
      </c>
      <c r="Q34" s="32">
        <v>6</v>
      </c>
      <c r="R34" s="32">
        <v>8</v>
      </c>
      <c r="S34" s="32">
        <v>10</v>
      </c>
      <c r="T34" s="32">
        <v>7</v>
      </c>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Z34" s="40">
        <f t="shared" si="3"/>
        <v>87</v>
      </c>
      <c r="BA34" s="39" t="e">
        <f>VLOOKUP(C34,'2005Nationals'!$C$8:$M$31,11,FALSE)</f>
        <v>#N/A</v>
      </c>
      <c r="BB34" s="39" t="e">
        <f>VLOOKUP(C34,'2005NOOD'!$C$9:$K$26,9,FALSE)</f>
        <v>#N/A</v>
      </c>
      <c r="BC34" s="39" t="e">
        <f>VLOOKUP('2005Season'!C34,'2005Crew'!$C$9:$H$16,6,FALSE)</f>
        <v>#N/A</v>
      </c>
      <c r="BD34" s="39"/>
    </row>
    <row r="35" spans="3:56" ht="11.25">
      <c r="C35" s="50">
        <v>22</v>
      </c>
      <c r="D35" s="60" t="s">
        <v>412</v>
      </c>
      <c r="E35" s="34">
        <f t="shared" si="0"/>
        <v>0</v>
      </c>
      <c r="F35" s="34">
        <f t="shared" si="1"/>
        <v>0</v>
      </c>
      <c r="G35" s="35">
        <f>C_S_G($H35:AV35,$H$9:AV$9,csg_table,E$9,F35)</f>
        <v>0</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Z35" s="50">
        <f t="shared" si="3"/>
        <v>22</v>
      </c>
      <c r="BA35" s="60" t="e">
        <f>VLOOKUP(C35,'2005Nationals'!$C$8:$M$31,11,FALSE)</f>
        <v>#N/A</v>
      </c>
      <c r="BB35" s="60" t="e">
        <f>VLOOKUP(C35,'2005NOOD'!$C$9:$K$26,9,FALSE)</f>
        <v>#N/A</v>
      </c>
      <c r="BC35" s="60" t="e">
        <f>VLOOKUP('2005Season'!C35,'2005Crew'!$C$9:$H$16,6,FALSE)</f>
        <v>#N/A</v>
      </c>
      <c r="BD35" s="60"/>
    </row>
    <row r="36" ht="11.25">
      <c r="N36" s="27" t="s">
        <v>191</v>
      </c>
    </row>
    <row r="37" ht="11.25">
      <c r="D37" s="27" t="s">
        <v>747</v>
      </c>
    </row>
    <row r="38" ht="11.25">
      <c r="D38" s="27" t="s">
        <v>749</v>
      </c>
    </row>
    <row r="40" ht="11.25">
      <c r="D40" s="27" t="s">
        <v>590</v>
      </c>
    </row>
    <row r="41" ht="11.25">
      <c r="D41" s="27" t="s">
        <v>698</v>
      </c>
    </row>
    <row r="42" ht="11.25">
      <c r="D42" s="27" t="s">
        <v>647</v>
      </c>
    </row>
  </sheetData>
  <sheetProtection/>
  <mergeCells count="8">
    <mergeCell ref="H5:K5"/>
    <mergeCell ref="U5:X5"/>
    <mergeCell ref="AU5:AV5"/>
    <mergeCell ref="Y5:AF5"/>
    <mergeCell ref="AQ5:AR5"/>
    <mergeCell ref="AJ5:AP5"/>
    <mergeCell ref="AS5:AT5"/>
    <mergeCell ref="AH5:AI5"/>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codeName="Sheet3"/>
  <dimension ref="B2:X36"/>
  <sheetViews>
    <sheetView zoomScalePageLayoutView="0" workbookViewId="0" topLeftCell="A1">
      <selection activeCell="D32" sqref="D32"/>
    </sheetView>
  </sheetViews>
  <sheetFormatPr defaultColWidth="9.140625" defaultRowHeight="12.75"/>
  <cols>
    <col min="1" max="1" width="3.00390625" style="27"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2" ht="11.25">
      <c r="D2" s="23" t="s">
        <v>500</v>
      </c>
    </row>
    <row r="3" ht="11.25">
      <c r="D3" s="27" t="s">
        <v>531</v>
      </c>
    </row>
    <row r="4" spans="4:24" ht="11.25">
      <c r="D4" s="27" t="s">
        <v>350</v>
      </c>
      <c r="H4" s="139" t="s">
        <v>300</v>
      </c>
      <c r="I4" s="29"/>
      <c r="J4" s="29"/>
      <c r="K4" s="29"/>
      <c r="L4" s="29"/>
      <c r="M4" s="29"/>
      <c r="N4" s="29"/>
      <c r="O4" s="49"/>
      <c r="P4" s="49"/>
      <c r="Q4" s="49"/>
      <c r="R4" s="49"/>
      <c r="S4" s="49"/>
      <c r="T4" s="49"/>
      <c r="U4" s="29"/>
      <c r="V4" s="29"/>
      <c r="W4" s="29"/>
      <c r="X4" s="30"/>
    </row>
    <row r="5" spans="8:24" ht="11.25">
      <c r="H5" s="375" t="s">
        <v>309</v>
      </c>
      <c r="I5" s="376"/>
      <c r="J5" s="376"/>
      <c r="K5" s="377"/>
      <c r="L5" s="53" t="s">
        <v>513</v>
      </c>
      <c r="M5" s="53" t="s">
        <v>313</v>
      </c>
      <c r="N5" s="53" t="s">
        <v>312</v>
      </c>
      <c r="O5" s="52" t="s">
        <v>316</v>
      </c>
      <c r="P5" s="51"/>
      <c r="Q5" s="51"/>
      <c r="R5" s="51"/>
      <c r="S5" s="51"/>
      <c r="T5" s="125"/>
      <c r="U5" s="376" t="s">
        <v>314</v>
      </c>
      <c r="V5" s="376"/>
      <c r="W5" s="376"/>
      <c r="X5" s="377"/>
    </row>
    <row r="6" spans="3:24" ht="11.25">
      <c r="C6" s="37"/>
      <c r="D6" s="126"/>
      <c r="E6" s="105"/>
      <c r="F6" s="115"/>
      <c r="G6" s="116" t="s">
        <v>184</v>
      </c>
      <c r="H6" s="62" t="s">
        <v>295</v>
      </c>
      <c r="I6" s="41" t="s">
        <v>295</v>
      </c>
      <c r="J6" s="41" t="s">
        <v>295</v>
      </c>
      <c r="K6" s="41" t="s">
        <v>430</v>
      </c>
      <c r="L6" s="41" t="s">
        <v>295</v>
      </c>
      <c r="M6" s="41" t="s">
        <v>295</v>
      </c>
      <c r="N6" s="41" t="s">
        <v>515</v>
      </c>
      <c r="O6" s="41" t="s">
        <v>295</v>
      </c>
      <c r="P6" s="41" t="s">
        <v>295</v>
      </c>
      <c r="Q6" s="41" t="s">
        <v>516</v>
      </c>
      <c r="R6" s="41" t="s">
        <v>295</v>
      </c>
      <c r="S6" s="41" t="s">
        <v>295</v>
      </c>
      <c r="T6" s="41" t="s">
        <v>295</v>
      </c>
      <c r="U6" s="41"/>
      <c r="V6" s="41"/>
      <c r="W6" s="41"/>
      <c r="X6" s="41"/>
    </row>
    <row r="7" spans="3:24" ht="11.25">
      <c r="C7" s="39"/>
      <c r="D7" s="63"/>
      <c r="E7" s="56"/>
      <c r="F7" s="117"/>
      <c r="G7" s="118" t="s">
        <v>185</v>
      </c>
      <c r="H7" s="112">
        <v>190</v>
      </c>
      <c r="I7" s="42">
        <v>190</v>
      </c>
      <c r="J7" s="42">
        <v>330</v>
      </c>
      <c r="K7" s="42">
        <v>330</v>
      </c>
      <c r="L7" s="41">
        <v>180</v>
      </c>
      <c r="M7" s="41">
        <v>230</v>
      </c>
      <c r="N7" s="41">
        <v>130</v>
      </c>
      <c r="O7" s="41">
        <v>220</v>
      </c>
      <c r="P7" s="41">
        <v>220</v>
      </c>
      <c r="Q7" s="41">
        <v>210</v>
      </c>
      <c r="R7" s="41">
        <v>210</v>
      </c>
      <c r="S7" s="41">
        <v>210</v>
      </c>
      <c r="T7" s="41">
        <v>210</v>
      </c>
      <c r="U7" s="41"/>
      <c r="V7" s="41"/>
      <c r="W7" s="41"/>
      <c r="X7" s="41"/>
    </row>
    <row r="8" spans="3:24" ht="11.25">
      <c r="C8" s="39"/>
      <c r="D8" s="63"/>
      <c r="E8" s="56"/>
      <c r="F8" s="117"/>
      <c r="G8" s="118" t="s">
        <v>186</v>
      </c>
      <c r="H8" s="62">
        <v>12</v>
      </c>
      <c r="I8" s="41">
        <v>20</v>
      </c>
      <c r="J8" s="44" t="s">
        <v>363</v>
      </c>
      <c r="K8" s="43" t="s">
        <v>362</v>
      </c>
      <c r="L8" s="111">
        <v>5</v>
      </c>
      <c r="M8" s="43">
        <v>5</v>
      </c>
      <c r="N8" s="43">
        <v>5</v>
      </c>
      <c r="O8" s="43">
        <v>8</v>
      </c>
      <c r="P8" s="43">
        <v>8</v>
      </c>
      <c r="Q8" s="43">
        <v>12</v>
      </c>
      <c r="R8" s="43">
        <v>8</v>
      </c>
      <c r="S8" s="43">
        <v>8</v>
      </c>
      <c r="T8" s="43">
        <v>10</v>
      </c>
      <c r="U8" s="43"/>
      <c r="V8" s="43"/>
      <c r="W8" s="43"/>
      <c r="X8" s="43"/>
    </row>
    <row r="9" spans="3:24" ht="11.25">
      <c r="C9" s="60"/>
      <c r="D9" s="127"/>
      <c r="E9" s="56">
        <f>COUNTIF($H9:X9,"&gt;0")</f>
        <v>17</v>
      </c>
      <c r="F9" s="119"/>
      <c r="G9" s="120" t="s">
        <v>187</v>
      </c>
      <c r="H9" s="62">
        <v>12</v>
      </c>
      <c r="I9" s="41">
        <v>12</v>
      </c>
      <c r="J9" s="41">
        <v>11</v>
      </c>
      <c r="K9" s="41">
        <v>11</v>
      </c>
      <c r="L9" s="41">
        <v>13</v>
      </c>
      <c r="M9" s="41">
        <v>11</v>
      </c>
      <c r="N9" s="41">
        <v>12</v>
      </c>
      <c r="O9" s="41">
        <v>20</v>
      </c>
      <c r="P9" s="41">
        <v>19</v>
      </c>
      <c r="Q9" s="41">
        <v>17</v>
      </c>
      <c r="R9" s="41">
        <v>19</v>
      </c>
      <c r="S9" s="41">
        <v>19</v>
      </c>
      <c r="T9" s="41">
        <v>18</v>
      </c>
      <c r="U9" s="41">
        <v>10</v>
      </c>
      <c r="V9" s="41">
        <v>10</v>
      </c>
      <c r="W9" s="41">
        <v>9</v>
      </c>
      <c r="X9" s="41">
        <v>7</v>
      </c>
    </row>
    <row r="10" spans="3:24" ht="37.5">
      <c r="C10" s="50" t="s">
        <v>451</v>
      </c>
      <c r="D10" s="124" t="s">
        <v>422</v>
      </c>
      <c r="E10" s="36" t="s">
        <v>188</v>
      </c>
      <c r="F10" s="113" t="s">
        <v>189</v>
      </c>
      <c r="G10" s="114" t="s">
        <v>190</v>
      </c>
      <c r="H10" s="36">
        <v>38135</v>
      </c>
      <c r="I10" s="36">
        <v>38135</v>
      </c>
      <c r="J10" s="36">
        <v>38136</v>
      </c>
      <c r="K10" s="36">
        <v>38136</v>
      </c>
      <c r="L10" s="36">
        <v>38142</v>
      </c>
      <c r="M10" s="36">
        <v>38149</v>
      </c>
      <c r="N10" s="36">
        <v>38156</v>
      </c>
      <c r="O10" s="36">
        <v>38163</v>
      </c>
      <c r="P10" s="36">
        <v>38163</v>
      </c>
      <c r="Q10" s="36">
        <v>38163</v>
      </c>
      <c r="R10" s="36">
        <v>38164</v>
      </c>
      <c r="S10" s="36">
        <v>38164</v>
      </c>
      <c r="T10" s="36">
        <v>38164</v>
      </c>
      <c r="U10" s="36">
        <v>38170</v>
      </c>
      <c r="V10" s="36">
        <v>38170</v>
      </c>
      <c r="W10" s="36">
        <v>38171</v>
      </c>
      <c r="X10" s="36">
        <v>38171</v>
      </c>
    </row>
    <row r="11" spans="2:24" ht="11.25">
      <c r="B11" s="27">
        <v>1</v>
      </c>
      <c r="C11" s="38">
        <v>25</v>
      </c>
      <c r="D11" s="37" t="s">
        <v>357</v>
      </c>
      <c r="E11" s="121">
        <f aca="true" t="shared" si="0" ref="E11:E34">COUNTA(H11:X11)</f>
        <v>17</v>
      </c>
      <c r="F11" s="48">
        <f aca="true" t="shared" si="1" ref="F11:F34">MIN(INT(E11/10),3)</f>
        <v>1</v>
      </c>
      <c r="G11" s="61">
        <f>C_S_G($H11:X11,$H$9:X$9,csg_table,E$9,F11)</f>
        <v>0.9107142857142857</v>
      </c>
      <c r="H11" s="48">
        <v>1</v>
      </c>
      <c r="I11" s="48">
        <v>2</v>
      </c>
      <c r="J11" s="48">
        <v>7</v>
      </c>
      <c r="K11" s="48">
        <v>4</v>
      </c>
      <c r="L11" s="48">
        <v>2</v>
      </c>
      <c r="M11" s="48">
        <v>6</v>
      </c>
      <c r="N11" s="48">
        <v>2</v>
      </c>
      <c r="O11" s="48">
        <v>2</v>
      </c>
      <c r="P11" s="48">
        <v>1</v>
      </c>
      <c r="Q11" s="48">
        <v>14</v>
      </c>
      <c r="R11" s="48">
        <v>5</v>
      </c>
      <c r="S11" s="48">
        <v>3</v>
      </c>
      <c r="T11" s="48">
        <v>1</v>
      </c>
      <c r="U11" s="48">
        <v>4</v>
      </c>
      <c r="V11" s="48">
        <v>1</v>
      </c>
      <c r="W11" s="48">
        <v>1</v>
      </c>
      <c r="X11" s="48">
        <v>2</v>
      </c>
    </row>
    <row r="12" spans="2:24" ht="11.25">
      <c r="B12" s="27">
        <v>2</v>
      </c>
      <c r="C12" s="40">
        <v>23</v>
      </c>
      <c r="D12" s="39" t="s">
        <v>503</v>
      </c>
      <c r="E12" s="122">
        <f t="shared" si="0"/>
        <v>16</v>
      </c>
      <c r="F12" s="32">
        <f t="shared" si="1"/>
        <v>1</v>
      </c>
      <c r="G12" s="33">
        <f>C_S_G($H12:X12,$H$9:X$9,csg_table,E$9,F12)</f>
        <v>0.8625954198473282</v>
      </c>
      <c r="H12" s="32">
        <v>4</v>
      </c>
      <c r="I12" s="32">
        <v>3</v>
      </c>
      <c r="J12" s="32">
        <v>3</v>
      </c>
      <c r="K12" s="32">
        <v>2</v>
      </c>
      <c r="L12" s="32">
        <v>4</v>
      </c>
      <c r="M12" s="32">
        <v>3</v>
      </c>
      <c r="N12" s="32"/>
      <c r="O12" s="32" t="s">
        <v>517</v>
      </c>
      <c r="P12" s="32">
        <v>3</v>
      </c>
      <c r="Q12" s="32">
        <v>11</v>
      </c>
      <c r="R12" s="32">
        <v>4</v>
      </c>
      <c r="S12" s="32">
        <v>6</v>
      </c>
      <c r="T12" s="32">
        <v>8</v>
      </c>
      <c r="U12" s="32">
        <v>1</v>
      </c>
      <c r="V12" s="32">
        <v>4</v>
      </c>
      <c r="W12" s="32">
        <v>2</v>
      </c>
      <c r="X12" s="32">
        <v>1</v>
      </c>
    </row>
    <row r="13" spans="2:24" ht="11.25">
      <c r="B13" s="27">
        <v>3</v>
      </c>
      <c r="C13" s="40">
        <v>49</v>
      </c>
      <c r="D13" s="39" t="s">
        <v>526</v>
      </c>
      <c r="E13" s="122">
        <f t="shared" si="0"/>
        <v>12</v>
      </c>
      <c r="F13" s="32">
        <f t="shared" si="1"/>
        <v>1</v>
      </c>
      <c r="G13" s="33">
        <f>C_S_G($H13:X13,$H$9:X$9,csg_table,E$9,F13)</f>
        <v>0.8616600790513834</v>
      </c>
      <c r="H13" s="32">
        <v>2</v>
      </c>
      <c r="I13" s="32">
        <v>1</v>
      </c>
      <c r="J13" s="32">
        <v>4</v>
      </c>
      <c r="K13" s="32">
        <v>1</v>
      </c>
      <c r="L13" s="32">
        <v>5</v>
      </c>
      <c r="M13" s="32"/>
      <c r="N13" s="32">
        <v>4</v>
      </c>
      <c r="O13" s="32">
        <v>3</v>
      </c>
      <c r="P13" s="32">
        <v>11</v>
      </c>
      <c r="Q13" s="32">
        <v>5</v>
      </c>
      <c r="R13" s="32">
        <v>7</v>
      </c>
      <c r="S13" s="32">
        <v>4</v>
      </c>
      <c r="T13" s="32">
        <v>9</v>
      </c>
      <c r="U13" s="32"/>
      <c r="V13" s="32"/>
      <c r="W13" s="32"/>
      <c r="X13" s="32"/>
    </row>
    <row r="14" spans="2:24" ht="11.25">
      <c r="B14" s="27">
        <v>4</v>
      </c>
      <c r="C14" s="40">
        <v>106</v>
      </c>
      <c r="D14" s="39" t="s">
        <v>505</v>
      </c>
      <c r="E14" s="122">
        <f t="shared" si="0"/>
        <v>15</v>
      </c>
      <c r="F14" s="32">
        <f t="shared" si="1"/>
        <v>1</v>
      </c>
      <c r="G14" s="33">
        <f>C_S_G($H14:X14,$H$9:X$9,csg_table,E$9,F14)</f>
        <v>0.836078431372549</v>
      </c>
      <c r="H14" s="32">
        <v>3</v>
      </c>
      <c r="I14" s="32">
        <v>6</v>
      </c>
      <c r="J14" s="32">
        <v>6</v>
      </c>
      <c r="K14" s="32">
        <v>3</v>
      </c>
      <c r="L14" s="32">
        <v>3</v>
      </c>
      <c r="M14" s="32">
        <v>1</v>
      </c>
      <c r="N14" s="32">
        <v>3</v>
      </c>
      <c r="O14" s="32">
        <v>5</v>
      </c>
      <c r="P14" s="32">
        <v>9</v>
      </c>
      <c r="Q14" s="32">
        <v>8</v>
      </c>
      <c r="R14" s="32">
        <v>1</v>
      </c>
      <c r="S14" s="32">
        <v>5</v>
      </c>
      <c r="T14" s="32">
        <v>10</v>
      </c>
      <c r="U14" s="32">
        <v>5</v>
      </c>
      <c r="V14" s="32" t="s">
        <v>299</v>
      </c>
      <c r="W14" s="32"/>
      <c r="X14" s="32"/>
    </row>
    <row r="15" spans="2:24" ht="11.25">
      <c r="B15" s="27">
        <v>5</v>
      </c>
      <c r="C15" s="40">
        <v>176</v>
      </c>
      <c r="D15" s="39" t="s">
        <v>527</v>
      </c>
      <c r="E15" s="122">
        <f t="shared" si="0"/>
        <v>11</v>
      </c>
      <c r="F15" s="32">
        <f t="shared" si="1"/>
        <v>1</v>
      </c>
      <c r="G15" s="33">
        <f>C_S_G($H15:X15,$H$9:X$9,csg_table,E$9,F15)</f>
        <v>0.8007334963325183</v>
      </c>
      <c r="H15" s="32">
        <v>6</v>
      </c>
      <c r="I15" s="32">
        <v>10</v>
      </c>
      <c r="J15" s="32">
        <v>2</v>
      </c>
      <c r="K15" s="32">
        <v>7</v>
      </c>
      <c r="L15" s="32">
        <v>7</v>
      </c>
      <c r="M15" s="32">
        <v>8</v>
      </c>
      <c r="N15" s="32">
        <v>7</v>
      </c>
      <c r="O15" s="32"/>
      <c r="P15" s="32"/>
      <c r="Q15" s="32"/>
      <c r="R15" s="32"/>
      <c r="S15" s="32"/>
      <c r="T15" s="32"/>
      <c r="U15" s="32">
        <v>3</v>
      </c>
      <c r="V15" s="32">
        <v>5</v>
      </c>
      <c r="W15" s="32">
        <v>3</v>
      </c>
      <c r="X15" s="32">
        <v>3</v>
      </c>
    </row>
    <row r="16" spans="2:24" ht="11.25">
      <c r="B16" s="27">
        <v>6</v>
      </c>
      <c r="C16" s="40">
        <v>182</v>
      </c>
      <c r="D16" s="39" t="s">
        <v>359</v>
      </c>
      <c r="E16" s="122">
        <f t="shared" si="0"/>
        <v>11</v>
      </c>
      <c r="F16" s="32">
        <f t="shared" si="1"/>
        <v>1</v>
      </c>
      <c r="G16" s="33">
        <f>C_S_G($H16:X16,$H$9:X$9,csg_table,E$9,F16)</f>
        <v>0.7925356750823271</v>
      </c>
      <c r="H16" s="32">
        <v>5</v>
      </c>
      <c r="I16" s="32">
        <v>5</v>
      </c>
      <c r="J16" s="32"/>
      <c r="K16" s="32"/>
      <c r="L16" s="32"/>
      <c r="M16" s="32">
        <v>4</v>
      </c>
      <c r="N16" s="32"/>
      <c r="O16" s="32">
        <v>10</v>
      </c>
      <c r="P16" s="32">
        <v>7</v>
      </c>
      <c r="Q16" s="32">
        <v>9</v>
      </c>
      <c r="R16" s="32">
        <v>10</v>
      </c>
      <c r="S16" s="32">
        <v>7</v>
      </c>
      <c r="T16" s="32">
        <v>5</v>
      </c>
      <c r="U16" s="32">
        <v>6</v>
      </c>
      <c r="V16" s="32">
        <v>2</v>
      </c>
      <c r="W16" s="32"/>
      <c r="X16" s="32"/>
    </row>
    <row r="17" spans="2:24" ht="11.25">
      <c r="B17" s="27">
        <v>7</v>
      </c>
      <c r="C17" s="40">
        <v>183</v>
      </c>
      <c r="D17" s="39" t="s">
        <v>418</v>
      </c>
      <c r="E17" s="122">
        <f t="shared" si="0"/>
        <v>12</v>
      </c>
      <c r="F17" s="32">
        <f t="shared" si="1"/>
        <v>1</v>
      </c>
      <c r="G17" s="33">
        <f>C_S_G($H17:X17,$H$9:X$9,csg_table,E$9,F17)</f>
        <v>0.7658102766798419</v>
      </c>
      <c r="H17" s="32">
        <v>8</v>
      </c>
      <c r="I17" s="32">
        <v>9</v>
      </c>
      <c r="J17" s="32">
        <v>1</v>
      </c>
      <c r="K17" s="32">
        <v>5</v>
      </c>
      <c r="L17" s="32">
        <v>9</v>
      </c>
      <c r="M17" s="32"/>
      <c r="N17" s="32">
        <v>1</v>
      </c>
      <c r="O17" s="32">
        <v>11</v>
      </c>
      <c r="P17" s="32">
        <v>4</v>
      </c>
      <c r="Q17" s="32">
        <v>12</v>
      </c>
      <c r="R17" s="32">
        <v>15</v>
      </c>
      <c r="S17" s="32">
        <v>15</v>
      </c>
      <c r="T17" s="32">
        <v>12</v>
      </c>
      <c r="U17" s="32"/>
      <c r="V17" s="32"/>
      <c r="W17" s="32"/>
      <c r="X17" s="32"/>
    </row>
    <row r="18" spans="2:24" ht="11.25">
      <c r="B18" s="27">
        <v>8</v>
      </c>
      <c r="C18" s="40">
        <v>70</v>
      </c>
      <c r="D18" s="39" t="s">
        <v>409</v>
      </c>
      <c r="E18" s="122">
        <f t="shared" si="0"/>
        <v>17</v>
      </c>
      <c r="F18" s="32">
        <f t="shared" si="1"/>
        <v>1</v>
      </c>
      <c r="G18" s="33">
        <f>C_S_G($H18:X18,$H$9:X$9,csg_table,E$9,F18)</f>
        <v>0.753934191702432</v>
      </c>
      <c r="H18" s="32">
        <v>11</v>
      </c>
      <c r="I18" s="32">
        <v>4</v>
      </c>
      <c r="J18" s="32">
        <v>8</v>
      </c>
      <c r="K18" s="32">
        <v>10</v>
      </c>
      <c r="L18" s="32">
        <v>6</v>
      </c>
      <c r="M18" s="32">
        <v>2</v>
      </c>
      <c r="N18" s="32">
        <v>6</v>
      </c>
      <c r="O18" s="32">
        <v>9</v>
      </c>
      <c r="P18" s="32">
        <v>8</v>
      </c>
      <c r="Q18" s="32">
        <v>15</v>
      </c>
      <c r="R18" s="32">
        <v>9</v>
      </c>
      <c r="S18" s="32">
        <v>16</v>
      </c>
      <c r="T18" s="32">
        <v>15</v>
      </c>
      <c r="U18" s="32">
        <v>2</v>
      </c>
      <c r="V18" s="32">
        <v>6</v>
      </c>
      <c r="W18" s="32">
        <v>4</v>
      </c>
      <c r="X18" s="32">
        <v>4</v>
      </c>
    </row>
    <row r="19" spans="2:24" ht="11.25">
      <c r="B19" s="27">
        <v>9</v>
      </c>
      <c r="C19" s="40">
        <v>142</v>
      </c>
      <c r="D19" s="39" t="s">
        <v>410</v>
      </c>
      <c r="E19" s="122">
        <f t="shared" si="0"/>
        <v>14</v>
      </c>
      <c r="F19" s="32">
        <f t="shared" si="1"/>
        <v>1</v>
      </c>
      <c r="G19" s="33">
        <f>C_S_G($H19:X19,$H$9:X$9,csg_table,E$9,F19)</f>
        <v>0.7090443686006825</v>
      </c>
      <c r="H19" s="32">
        <v>7</v>
      </c>
      <c r="I19" s="32">
        <v>7</v>
      </c>
      <c r="J19" s="32">
        <v>10</v>
      </c>
      <c r="K19" s="32">
        <v>8</v>
      </c>
      <c r="L19" s="32">
        <v>8</v>
      </c>
      <c r="M19" s="32"/>
      <c r="N19" s="32">
        <v>5</v>
      </c>
      <c r="O19" s="32">
        <v>16</v>
      </c>
      <c r="P19" s="32">
        <v>14</v>
      </c>
      <c r="Q19" s="32">
        <v>13</v>
      </c>
      <c r="R19" s="32">
        <v>17</v>
      </c>
      <c r="S19" s="32">
        <v>12</v>
      </c>
      <c r="T19" s="32">
        <v>13</v>
      </c>
      <c r="U19" s="32">
        <v>7</v>
      </c>
      <c r="V19" s="32">
        <v>3</v>
      </c>
      <c r="W19" s="32"/>
      <c r="X19" s="32"/>
    </row>
    <row r="20" spans="2:24" ht="11.25">
      <c r="B20" s="27">
        <v>10</v>
      </c>
      <c r="C20" s="40">
        <v>197</v>
      </c>
      <c r="D20" s="39" t="s">
        <v>411</v>
      </c>
      <c r="E20" s="122">
        <f t="shared" si="0"/>
        <v>14</v>
      </c>
      <c r="F20" s="32">
        <f t="shared" si="1"/>
        <v>1</v>
      </c>
      <c r="G20" s="33">
        <f>C_S_G($H20:X20,$H$9:X$9,csg_table,E$9,F20)</f>
        <v>0.6970486111111112</v>
      </c>
      <c r="H20" s="32">
        <v>9</v>
      </c>
      <c r="I20" s="32">
        <v>8</v>
      </c>
      <c r="J20" s="32">
        <v>9</v>
      </c>
      <c r="K20" s="32">
        <v>11</v>
      </c>
      <c r="L20" s="32">
        <v>10</v>
      </c>
      <c r="M20" s="32">
        <v>7</v>
      </c>
      <c r="N20" s="32"/>
      <c r="O20" s="32">
        <v>8</v>
      </c>
      <c r="P20" s="32">
        <v>15</v>
      </c>
      <c r="Q20" s="32">
        <v>10</v>
      </c>
      <c r="R20" s="32">
        <v>16</v>
      </c>
      <c r="S20" s="32">
        <v>13</v>
      </c>
      <c r="T20" s="32">
        <v>18</v>
      </c>
      <c r="U20" s="32"/>
      <c r="V20" s="32"/>
      <c r="W20" s="32">
        <v>5</v>
      </c>
      <c r="X20" s="32">
        <v>5</v>
      </c>
    </row>
    <row r="21" spans="2:24" ht="11.25">
      <c r="B21" s="27">
        <v>11</v>
      </c>
      <c r="C21" s="40">
        <v>5</v>
      </c>
      <c r="D21" s="39" t="s">
        <v>408</v>
      </c>
      <c r="E21" s="122">
        <f t="shared" si="0"/>
        <v>11</v>
      </c>
      <c r="F21" s="32">
        <f t="shared" si="1"/>
        <v>1</v>
      </c>
      <c r="G21" s="33">
        <f>C_S_G($H21:X21,$H$9:X$9,csg_table,E$9,F21)</f>
        <v>0.6571428571428571</v>
      </c>
      <c r="H21" s="32">
        <v>10</v>
      </c>
      <c r="I21" s="32">
        <v>11</v>
      </c>
      <c r="J21" s="32"/>
      <c r="K21" s="32"/>
      <c r="L21" s="32">
        <v>12</v>
      </c>
      <c r="M21" s="32">
        <v>11</v>
      </c>
      <c r="N21" s="32">
        <v>11</v>
      </c>
      <c r="O21" s="32">
        <v>17</v>
      </c>
      <c r="P21" s="32">
        <v>18</v>
      </c>
      <c r="Q21" s="32"/>
      <c r="R21" s="32">
        <v>13</v>
      </c>
      <c r="S21" s="32">
        <v>17</v>
      </c>
      <c r="T21" s="32"/>
      <c r="U21" s="32"/>
      <c r="V21" s="32"/>
      <c r="W21" s="32">
        <v>6</v>
      </c>
      <c r="X21" s="32">
        <v>6</v>
      </c>
    </row>
    <row r="22" spans="2:24" ht="11.25">
      <c r="B22" s="27">
        <v>12</v>
      </c>
      <c r="C22" s="40">
        <v>117</v>
      </c>
      <c r="D22" s="39" t="s">
        <v>405</v>
      </c>
      <c r="E22" s="122">
        <f t="shared" si="0"/>
        <v>16</v>
      </c>
      <c r="F22" s="32">
        <f t="shared" si="1"/>
        <v>1</v>
      </c>
      <c r="G22" s="33">
        <f>C_S_G($H22:X22,$H$9:X$9,csg_table,E$9,F22)</f>
        <v>0.6529051987767585</v>
      </c>
      <c r="H22" s="32">
        <v>12</v>
      </c>
      <c r="I22" s="32">
        <v>12</v>
      </c>
      <c r="J22" s="32">
        <v>11</v>
      </c>
      <c r="K22" s="32">
        <v>9</v>
      </c>
      <c r="L22" s="32"/>
      <c r="M22" s="32">
        <v>5</v>
      </c>
      <c r="N22" s="32">
        <v>10</v>
      </c>
      <c r="O22" s="32">
        <v>18</v>
      </c>
      <c r="P22" s="32">
        <v>17</v>
      </c>
      <c r="Q22" s="32">
        <v>17</v>
      </c>
      <c r="R22" s="32">
        <v>18</v>
      </c>
      <c r="S22" s="32">
        <v>18</v>
      </c>
      <c r="T22" s="32">
        <v>16</v>
      </c>
      <c r="U22" s="32">
        <v>10</v>
      </c>
      <c r="V22" s="32">
        <v>7</v>
      </c>
      <c r="W22" s="32">
        <v>9</v>
      </c>
      <c r="X22" s="32">
        <v>7</v>
      </c>
    </row>
    <row r="23" spans="2:24" ht="11.25">
      <c r="B23" s="27">
        <v>13</v>
      </c>
      <c r="C23" s="50">
        <v>38</v>
      </c>
      <c r="D23" s="60" t="s">
        <v>404</v>
      </c>
      <c r="E23" s="123">
        <f t="shared" si="0"/>
        <v>12</v>
      </c>
      <c r="F23" s="34">
        <f t="shared" si="1"/>
        <v>1</v>
      </c>
      <c r="G23" s="35">
        <f>C_S_G($H23:X23,$H$9:X$9,csg_table,E$9,F23)</f>
        <v>0.647887323943662</v>
      </c>
      <c r="H23" s="34"/>
      <c r="I23" s="34"/>
      <c r="J23" s="34"/>
      <c r="K23" s="34"/>
      <c r="L23" s="34">
        <v>11</v>
      </c>
      <c r="M23" s="34">
        <v>10</v>
      </c>
      <c r="N23" s="34">
        <v>12</v>
      </c>
      <c r="O23" s="34">
        <v>14</v>
      </c>
      <c r="P23" s="34">
        <v>12</v>
      </c>
      <c r="Q23" s="34">
        <v>16</v>
      </c>
      <c r="R23" s="34">
        <v>19</v>
      </c>
      <c r="S23" s="34" t="s">
        <v>360</v>
      </c>
      <c r="T23" s="34">
        <v>17</v>
      </c>
      <c r="U23" s="34">
        <v>9</v>
      </c>
      <c r="V23" s="34" t="s">
        <v>299</v>
      </c>
      <c r="W23" s="34">
        <v>7</v>
      </c>
      <c r="X23" s="34"/>
    </row>
    <row r="24" spans="3:24" ht="11.25">
      <c r="C24" s="40">
        <v>231</v>
      </c>
      <c r="D24" s="39" t="s">
        <v>419</v>
      </c>
      <c r="E24" s="122">
        <f t="shared" si="0"/>
        <v>8</v>
      </c>
      <c r="F24" s="32">
        <f t="shared" si="1"/>
        <v>0</v>
      </c>
      <c r="G24" s="33">
        <f>C_S_G($H24:X24,$H$9:X$9,csg_table,E$9,F24)</f>
        <v>0.8309492847854356</v>
      </c>
      <c r="H24" s="32"/>
      <c r="I24" s="32"/>
      <c r="J24" s="32"/>
      <c r="K24" s="32"/>
      <c r="L24" s="32">
        <v>1</v>
      </c>
      <c r="M24" s="32"/>
      <c r="N24" s="32">
        <v>8</v>
      </c>
      <c r="O24" s="32">
        <v>13</v>
      </c>
      <c r="P24" s="32">
        <v>6</v>
      </c>
      <c r="Q24" s="32">
        <v>2</v>
      </c>
      <c r="R24" s="32">
        <v>3</v>
      </c>
      <c r="S24" s="32">
        <v>2</v>
      </c>
      <c r="T24" s="32">
        <v>11</v>
      </c>
      <c r="U24" s="32"/>
      <c r="V24" s="32"/>
      <c r="W24" s="32"/>
      <c r="X24" s="32"/>
    </row>
    <row r="25" spans="3:24" ht="11.25">
      <c r="C25" s="40">
        <v>221</v>
      </c>
      <c r="D25" s="39" t="s">
        <v>407</v>
      </c>
      <c r="E25" s="122">
        <f t="shared" si="0"/>
        <v>8</v>
      </c>
      <c r="F25" s="32">
        <f t="shared" si="1"/>
        <v>0</v>
      </c>
      <c r="G25" s="33">
        <f>C_S_G($H25:X25,$H$9:X$9,csg_table,E$9,F25)</f>
        <v>0.8302631578947368</v>
      </c>
      <c r="H25" s="32"/>
      <c r="I25" s="32"/>
      <c r="J25" s="32">
        <v>5</v>
      </c>
      <c r="K25" s="32">
        <v>6</v>
      </c>
      <c r="L25" s="32"/>
      <c r="M25" s="32"/>
      <c r="N25" s="32"/>
      <c r="O25" s="32">
        <v>7</v>
      </c>
      <c r="P25" s="32">
        <v>2</v>
      </c>
      <c r="Q25" s="32">
        <v>3</v>
      </c>
      <c r="R25" s="32">
        <v>6</v>
      </c>
      <c r="S25" s="32">
        <v>8</v>
      </c>
      <c r="T25" s="32">
        <v>3</v>
      </c>
      <c r="U25" s="32"/>
      <c r="V25" s="32"/>
      <c r="W25" s="32"/>
      <c r="X25" s="32"/>
    </row>
    <row r="26" spans="3:24" ht="11.25">
      <c r="C26" s="40">
        <v>41</v>
      </c>
      <c r="D26" s="39" t="s">
        <v>417</v>
      </c>
      <c r="E26" s="122">
        <f t="shared" si="0"/>
        <v>6</v>
      </c>
      <c r="F26" s="32">
        <f t="shared" si="1"/>
        <v>0</v>
      </c>
      <c r="G26" s="33">
        <f>C_S_G($H26:X26,$H$9:X$9,csg_table,E$9,F26)</f>
        <v>0.6653919694072657</v>
      </c>
      <c r="H26" s="32"/>
      <c r="I26" s="32"/>
      <c r="J26" s="32"/>
      <c r="K26" s="32"/>
      <c r="L26" s="32"/>
      <c r="M26" s="32"/>
      <c r="N26" s="32">
        <v>9</v>
      </c>
      <c r="O26" s="32">
        <v>15</v>
      </c>
      <c r="P26" s="32" t="s">
        <v>299</v>
      </c>
      <c r="Q26" s="32"/>
      <c r="R26" s="32"/>
      <c r="S26" s="32"/>
      <c r="T26" s="32"/>
      <c r="U26" s="32">
        <v>8</v>
      </c>
      <c r="V26" s="32">
        <v>8</v>
      </c>
      <c r="W26" s="32">
        <v>8</v>
      </c>
      <c r="X26" s="32"/>
    </row>
    <row r="27" spans="3:24" ht="11.25">
      <c r="C27" s="40">
        <v>54</v>
      </c>
      <c r="D27" s="39" t="s">
        <v>414</v>
      </c>
      <c r="E27" s="122">
        <f t="shared" si="0"/>
        <v>3</v>
      </c>
      <c r="F27" s="32">
        <f t="shared" si="1"/>
        <v>0</v>
      </c>
      <c r="G27" s="33">
        <f>C_S_G($H27:X27,$H$9:X$9,csg_table,E$9,F27)</f>
        <v>0.6554054054054054</v>
      </c>
      <c r="H27" s="32"/>
      <c r="I27" s="32"/>
      <c r="J27" s="32"/>
      <c r="K27" s="32"/>
      <c r="L27" s="32"/>
      <c r="M27" s="32"/>
      <c r="N27" s="32"/>
      <c r="O27" s="32"/>
      <c r="P27" s="32"/>
      <c r="Q27" s="32"/>
      <c r="R27" s="32">
        <v>12</v>
      </c>
      <c r="S27" s="32">
        <v>14</v>
      </c>
      <c r="T27" s="32">
        <v>14</v>
      </c>
      <c r="U27" s="32"/>
      <c r="V27" s="32"/>
      <c r="W27" s="32"/>
      <c r="X27" s="32"/>
    </row>
    <row r="28" spans="3:24" ht="11.25">
      <c r="C28" s="40">
        <v>16</v>
      </c>
      <c r="D28" s="39" t="s">
        <v>416</v>
      </c>
      <c r="E28" s="122">
        <f t="shared" si="0"/>
        <v>3</v>
      </c>
      <c r="F28" s="32">
        <f t="shared" si="1"/>
        <v>0</v>
      </c>
      <c r="G28" s="33">
        <f>C_S_G($H28:X28,$H$9:X$9,csg_table,E$9,F28)</f>
        <v>0.6263273928426282</v>
      </c>
      <c r="H28" s="32"/>
      <c r="I28" s="32"/>
      <c r="J28" s="32"/>
      <c r="K28" s="32"/>
      <c r="L28" s="32">
        <v>13</v>
      </c>
      <c r="M28" s="32">
        <v>9</v>
      </c>
      <c r="N28" s="32"/>
      <c r="O28" s="32" t="s">
        <v>299</v>
      </c>
      <c r="P28" s="32"/>
      <c r="Q28" s="32"/>
      <c r="R28" s="32"/>
      <c r="S28" s="32"/>
      <c r="T28" s="32"/>
      <c r="U28" s="32"/>
      <c r="V28" s="32"/>
      <c r="W28" s="32"/>
      <c r="X28" s="32"/>
    </row>
    <row r="29" spans="3:24" ht="11.25">
      <c r="C29" s="40">
        <v>57</v>
      </c>
      <c r="D29" s="39" t="s">
        <v>518</v>
      </c>
      <c r="E29" s="122">
        <f t="shared" si="0"/>
        <v>6</v>
      </c>
      <c r="F29" s="32">
        <f t="shared" si="1"/>
        <v>0</v>
      </c>
      <c r="G29" s="33">
        <f>C_S_G($H29:X29,$H$9:X$9,csg_table,E$9,F29)</f>
        <v>0.9375</v>
      </c>
      <c r="H29" s="32"/>
      <c r="I29" s="32"/>
      <c r="J29" s="32"/>
      <c r="K29" s="32"/>
      <c r="L29" s="32"/>
      <c r="M29" s="32"/>
      <c r="N29" s="32"/>
      <c r="O29" s="32">
        <v>1</v>
      </c>
      <c r="P29" s="32">
        <v>5</v>
      </c>
      <c r="Q29" s="32">
        <v>1</v>
      </c>
      <c r="R29" s="32">
        <v>2</v>
      </c>
      <c r="S29" s="32">
        <v>1</v>
      </c>
      <c r="T29" s="32">
        <v>4</v>
      </c>
      <c r="U29" s="32"/>
      <c r="V29" s="32"/>
      <c r="W29" s="32"/>
      <c r="X29" s="32"/>
    </row>
    <row r="30" spans="3:24" ht="11.25">
      <c r="C30" s="40">
        <v>83</v>
      </c>
      <c r="D30" s="39" t="s">
        <v>519</v>
      </c>
      <c r="E30" s="122">
        <f t="shared" si="0"/>
        <v>6</v>
      </c>
      <c r="F30" s="32">
        <f t="shared" si="1"/>
        <v>0</v>
      </c>
      <c r="G30" s="33">
        <f>C_S_G($H30:X30,$H$9:X$9,csg_table,E$9,F30)</f>
        <v>0.777027027027027</v>
      </c>
      <c r="H30" s="32"/>
      <c r="I30" s="32"/>
      <c r="J30" s="32"/>
      <c r="K30" s="32"/>
      <c r="L30" s="32"/>
      <c r="M30" s="32"/>
      <c r="N30" s="32"/>
      <c r="O30" s="32">
        <v>6</v>
      </c>
      <c r="P30" s="32">
        <v>10</v>
      </c>
      <c r="Q30" s="32">
        <v>7</v>
      </c>
      <c r="R30" s="32">
        <v>11</v>
      </c>
      <c r="S30" s="32">
        <v>9</v>
      </c>
      <c r="T30" s="32">
        <v>2</v>
      </c>
      <c r="U30" s="32"/>
      <c r="V30" s="32"/>
      <c r="W30" s="32"/>
      <c r="X30" s="32"/>
    </row>
    <row r="31" spans="3:24" ht="11.25">
      <c r="C31" s="40">
        <v>246</v>
      </c>
      <c r="D31" s="39" t="s">
        <v>358</v>
      </c>
      <c r="E31" s="122">
        <f t="shared" si="0"/>
        <v>6</v>
      </c>
      <c r="F31" s="32">
        <f t="shared" si="1"/>
        <v>0</v>
      </c>
      <c r="G31" s="33">
        <f>C_S_G($H31:X31,$H$9:X$9,csg_table,E$9,F31)</f>
        <v>0.7516891891891891</v>
      </c>
      <c r="H31" s="32"/>
      <c r="I31" s="32"/>
      <c r="J31" s="32"/>
      <c r="K31" s="32"/>
      <c r="L31" s="32"/>
      <c r="M31" s="32"/>
      <c r="N31" s="32"/>
      <c r="O31" s="32">
        <v>4</v>
      </c>
      <c r="P31" s="32">
        <v>13</v>
      </c>
      <c r="Q31" s="32">
        <v>4</v>
      </c>
      <c r="R31" s="32">
        <v>14</v>
      </c>
      <c r="S31" s="32">
        <v>11</v>
      </c>
      <c r="T31" s="32">
        <v>6</v>
      </c>
      <c r="U31" s="32"/>
      <c r="V31" s="32"/>
      <c r="W31" s="32"/>
      <c r="X31" s="32"/>
    </row>
    <row r="32" spans="3:24" ht="11.25">
      <c r="C32" s="40">
        <v>87</v>
      </c>
      <c r="D32" s="39" t="s">
        <v>520</v>
      </c>
      <c r="E32" s="122">
        <f t="shared" si="0"/>
        <v>6</v>
      </c>
      <c r="F32" s="32">
        <f t="shared" si="1"/>
        <v>0</v>
      </c>
      <c r="G32" s="33">
        <f>C_S_G($H32:X32,$H$9:X$9,csg_table,E$9,F32)</f>
        <v>0.7246621621621622</v>
      </c>
      <c r="H32" s="32"/>
      <c r="I32" s="32"/>
      <c r="J32" s="32"/>
      <c r="K32" s="32"/>
      <c r="L32" s="32"/>
      <c r="M32" s="32"/>
      <c r="N32" s="32"/>
      <c r="O32" s="32">
        <v>12</v>
      </c>
      <c r="P32" s="32">
        <v>16</v>
      </c>
      <c r="Q32" s="32">
        <v>6</v>
      </c>
      <c r="R32" s="32">
        <v>8</v>
      </c>
      <c r="S32" s="32">
        <v>10</v>
      </c>
      <c r="T32" s="32">
        <v>7</v>
      </c>
      <c r="U32" s="32"/>
      <c r="V32" s="32"/>
      <c r="W32" s="32"/>
      <c r="X32" s="32"/>
    </row>
    <row r="33" spans="3:24" ht="11.25">
      <c r="C33" s="40">
        <v>22</v>
      </c>
      <c r="D33" s="39" t="s">
        <v>412</v>
      </c>
      <c r="E33" s="122">
        <f t="shared" si="0"/>
        <v>0</v>
      </c>
      <c r="F33" s="32">
        <f t="shared" si="1"/>
        <v>0</v>
      </c>
      <c r="G33" s="33">
        <f>C_S_G($H33:X33,$H$9:X$9,csg_table,E$9,F33)</f>
        <v>0</v>
      </c>
      <c r="H33" s="32"/>
      <c r="I33" s="32"/>
      <c r="J33" s="32"/>
      <c r="K33" s="32"/>
      <c r="L33" s="32"/>
      <c r="M33" s="32"/>
      <c r="N33" s="32"/>
      <c r="O33" s="32"/>
      <c r="P33" s="32"/>
      <c r="Q33" s="32"/>
      <c r="R33" s="32"/>
      <c r="S33" s="32"/>
      <c r="T33" s="32"/>
      <c r="U33" s="32"/>
      <c r="V33" s="32"/>
      <c r="W33" s="32"/>
      <c r="X33" s="32"/>
    </row>
    <row r="34" spans="3:24" ht="11.25">
      <c r="C34" s="50">
        <v>26</v>
      </c>
      <c r="D34" s="60" t="s">
        <v>413</v>
      </c>
      <c r="E34" s="123">
        <f t="shared" si="0"/>
        <v>0</v>
      </c>
      <c r="F34" s="34">
        <f t="shared" si="1"/>
        <v>0</v>
      </c>
      <c r="G34" s="35">
        <f>C_S_G($H34:X34,$H$9:X$9,csg_table,E$9,F34)</f>
        <v>0</v>
      </c>
      <c r="H34" s="34"/>
      <c r="I34" s="34"/>
      <c r="J34" s="34"/>
      <c r="K34" s="34"/>
      <c r="L34" s="34"/>
      <c r="M34" s="34"/>
      <c r="N34" s="34"/>
      <c r="O34" s="34"/>
      <c r="P34" s="34"/>
      <c r="Q34" s="34"/>
      <c r="R34" s="34"/>
      <c r="S34" s="34"/>
      <c r="T34" s="34"/>
      <c r="U34" s="34"/>
      <c r="V34" s="34"/>
      <c r="W34" s="34"/>
      <c r="X34" s="34"/>
    </row>
    <row r="35" ht="11.25">
      <c r="N35" s="27" t="s">
        <v>191</v>
      </c>
    </row>
    <row r="36" spans="4:10" ht="11.25">
      <c r="D36" s="27" t="s">
        <v>751</v>
      </c>
      <c r="J36" s="27" t="s">
        <v>191</v>
      </c>
    </row>
  </sheetData>
  <sheetProtection/>
  <mergeCells count="2">
    <mergeCell ref="H5:K5"/>
    <mergeCell ref="U5:X5"/>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codeName="Sheet9"/>
  <dimension ref="B2:O34"/>
  <sheetViews>
    <sheetView zoomScalePageLayoutView="0" workbookViewId="0" topLeftCell="A6">
      <selection activeCell="D32" sqref="D32"/>
    </sheetView>
  </sheetViews>
  <sheetFormatPr defaultColWidth="9.140625" defaultRowHeight="12.75"/>
  <cols>
    <col min="1" max="1" width="2.57421875" style="144" customWidth="1"/>
    <col min="2" max="2" width="5.28125" style="143" customWidth="1"/>
    <col min="3" max="3" width="5.57421875" style="143" customWidth="1"/>
    <col min="4" max="4" width="24.8515625" style="144" bestFit="1" customWidth="1"/>
    <col min="5" max="5" width="4.57421875" style="143" bestFit="1" customWidth="1"/>
    <col min="6" max="13" width="7.00390625" style="143" bestFit="1" customWidth="1"/>
    <col min="14" max="14" width="5.140625" style="143" bestFit="1" customWidth="1"/>
    <col min="15" max="15" width="4.00390625" style="143" bestFit="1" customWidth="1"/>
    <col min="16" max="16384" width="9.140625" style="144" customWidth="1"/>
  </cols>
  <sheetData>
    <row r="2" spans="2:15" s="141" customFormat="1" ht="15.75">
      <c r="B2" s="21" t="s">
        <v>543</v>
      </c>
      <c r="C2" s="140"/>
      <c r="E2" s="140"/>
      <c r="F2" s="140"/>
      <c r="G2" s="140"/>
      <c r="H2" s="140"/>
      <c r="I2" s="140"/>
      <c r="J2" s="140"/>
      <c r="K2" s="140"/>
      <c r="L2" s="140"/>
      <c r="M2" s="140"/>
      <c r="N2" s="140"/>
      <c r="O2" s="140"/>
    </row>
    <row r="3" spans="2:15" s="141" customFormat="1" ht="15.75">
      <c r="B3" s="142" t="s">
        <v>542</v>
      </c>
      <c r="C3" s="140"/>
      <c r="E3" s="140"/>
      <c r="F3" s="140"/>
      <c r="G3" s="140"/>
      <c r="H3" s="140"/>
      <c r="I3" s="140"/>
      <c r="J3" s="140"/>
      <c r="K3" s="140"/>
      <c r="L3" s="140"/>
      <c r="M3" s="140"/>
      <c r="N3" s="140"/>
      <c r="O3" s="140"/>
    </row>
    <row r="4" ht="12.75" customHeight="1">
      <c r="B4" s="145" t="s">
        <v>350</v>
      </c>
    </row>
    <row r="5" spans="2:15" s="76" customFormat="1" ht="12.75" customHeight="1">
      <c r="B5" s="79"/>
      <c r="C5" s="128"/>
      <c r="E5" s="128"/>
      <c r="F5" s="128"/>
      <c r="G5" s="128"/>
      <c r="H5" s="128"/>
      <c r="I5" s="128"/>
      <c r="J5" s="128"/>
      <c r="K5" s="128"/>
      <c r="L5" s="128"/>
      <c r="M5" s="128"/>
      <c r="N5" s="128"/>
      <c r="O5" s="128"/>
    </row>
    <row r="6" spans="2:15" s="76" customFormat="1" ht="12.75" customHeight="1">
      <c r="B6" s="128"/>
      <c r="C6" s="128"/>
      <c r="E6" s="128"/>
      <c r="F6" s="223">
        <v>38185</v>
      </c>
      <c r="G6" s="224"/>
      <c r="H6" s="225"/>
      <c r="I6" s="223">
        <v>38551</v>
      </c>
      <c r="J6" s="225"/>
      <c r="K6" s="223">
        <f>F6+7</f>
        <v>38192</v>
      </c>
      <c r="L6" s="225"/>
      <c r="M6" s="225">
        <f>K6+1</f>
        <v>38193</v>
      </c>
      <c r="N6" s="128"/>
      <c r="O6" s="128"/>
    </row>
    <row r="7" spans="2:15" s="76" customFormat="1" ht="11.25">
      <c r="B7" s="84" t="s">
        <v>351</v>
      </c>
      <c r="C7" s="84" t="s">
        <v>390</v>
      </c>
      <c r="D7" s="84" t="s">
        <v>353</v>
      </c>
      <c r="E7" s="84"/>
      <c r="F7" s="84" t="s">
        <v>291</v>
      </c>
      <c r="G7" s="84" t="s">
        <v>292</v>
      </c>
      <c r="H7" s="84" t="s">
        <v>293</v>
      </c>
      <c r="I7" s="84" t="s">
        <v>302</v>
      </c>
      <c r="J7" s="84" t="s">
        <v>355</v>
      </c>
      <c r="K7" s="84" t="s">
        <v>391</v>
      </c>
      <c r="L7" s="84" t="s">
        <v>392</v>
      </c>
      <c r="M7" s="84" t="s">
        <v>394</v>
      </c>
      <c r="N7" s="84" t="s">
        <v>294</v>
      </c>
      <c r="O7" s="84" t="s">
        <v>434</v>
      </c>
    </row>
    <row r="8" spans="2:15" s="76" customFormat="1" ht="11.25">
      <c r="B8" s="80">
        <v>1</v>
      </c>
      <c r="C8" s="81">
        <v>231</v>
      </c>
      <c r="D8" s="226" t="s">
        <v>544</v>
      </c>
      <c r="E8" s="227" t="s">
        <v>313</v>
      </c>
      <c r="F8" s="227">
        <v>1</v>
      </c>
      <c r="G8" s="81">
        <v>6</v>
      </c>
      <c r="H8" s="81">
        <v>2</v>
      </c>
      <c r="I8" s="81">
        <v>2</v>
      </c>
      <c r="J8" s="81">
        <v>5</v>
      </c>
      <c r="K8" s="81">
        <v>2</v>
      </c>
      <c r="L8" s="81">
        <v>3</v>
      </c>
      <c r="M8" s="80">
        <v>2</v>
      </c>
      <c r="N8" s="81">
        <f>SUM(F8:M8)+(COUNTA(F8:M8)-COUNT(F8:M8))*(1+MAX(B2:B26))</f>
        <v>23</v>
      </c>
      <c r="O8" s="81">
        <f>(IF(COUNT(F8:M8)=COUNTA(F8:M8),N8-MAX(F8:M8),N8-MAX($B$8:$B$47)-1))</f>
        <v>17</v>
      </c>
    </row>
    <row r="9" spans="2:15" s="76" customFormat="1" ht="11.25">
      <c r="B9" s="80">
        <v>2</v>
      </c>
      <c r="C9" s="81">
        <v>25</v>
      </c>
      <c r="D9" s="226" t="s">
        <v>504</v>
      </c>
      <c r="E9" s="227" t="s">
        <v>313</v>
      </c>
      <c r="F9" s="227">
        <v>6</v>
      </c>
      <c r="G9" s="81">
        <v>1</v>
      </c>
      <c r="H9" s="81">
        <v>4</v>
      </c>
      <c r="I9" s="81">
        <v>3</v>
      </c>
      <c r="J9" s="81">
        <v>3</v>
      </c>
      <c r="K9" s="81">
        <v>4</v>
      </c>
      <c r="L9" s="81">
        <v>8</v>
      </c>
      <c r="M9" s="80">
        <v>4</v>
      </c>
      <c r="N9" s="81">
        <f>SUM(F9:M9)+(COUNTA(F9:M9)-COUNT(F9:M9))*(1+MAX(B3:B26))</f>
        <v>33</v>
      </c>
      <c r="O9" s="81">
        <f aca="true" t="shared" si="0" ref="O9:O25">(IF(COUNT(F9:M9)=COUNTA(F9:M9),N9-MAX(F9:M9),N9-MAX($B$8:$B$47)-1))</f>
        <v>25</v>
      </c>
    </row>
    <row r="10" spans="2:15" s="76" customFormat="1" ht="11.25">
      <c r="B10" s="80">
        <v>3</v>
      </c>
      <c r="C10" s="81">
        <v>106</v>
      </c>
      <c r="D10" s="226" t="s">
        <v>505</v>
      </c>
      <c r="E10" s="227" t="s">
        <v>313</v>
      </c>
      <c r="F10" s="227">
        <v>4</v>
      </c>
      <c r="G10" s="81">
        <v>7</v>
      </c>
      <c r="H10" s="81">
        <v>3</v>
      </c>
      <c r="I10" s="81">
        <v>4</v>
      </c>
      <c r="J10" s="81">
        <v>2</v>
      </c>
      <c r="K10" s="81">
        <v>10</v>
      </c>
      <c r="L10" s="81">
        <v>2</v>
      </c>
      <c r="M10" s="80">
        <v>5</v>
      </c>
      <c r="N10" s="81">
        <f>SUM(F10:M10)+(COUNTA(F10:M10)-COUNT(F10:M10))*(1+MAX(B4:B26))</f>
        <v>37</v>
      </c>
      <c r="O10" s="81">
        <f t="shared" si="0"/>
        <v>27</v>
      </c>
    </row>
    <row r="11" spans="2:15" s="76" customFormat="1" ht="11.25">
      <c r="B11" s="80">
        <v>4</v>
      </c>
      <c r="C11" s="81">
        <v>23</v>
      </c>
      <c r="D11" s="226" t="s">
        <v>534</v>
      </c>
      <c r="E11" s="227" t="s">
        <v>313</v>
      </c>
      <c r="F11" s="227">
        <v>5</v>
      </c>
      <c r="G11" s="81">
        <v>2</v>
      </c>
      <c r="H11" s="81">
        <v>7</v>
      </c>
      <c r="I11" s="81">
        <v>12</v>
      </c>
      <c r="J11" s="81">
        <v>4</v>
      </c>
      <c r="K11" s="81">
        <v>1</v>
      </c>
      <c r="L11" s="81">
        <v>4</v>
      </c>
      <c r="M11" s="80">
        <v>6</v>
      </c>
      <c r="N11" s="81">
        <f>SUM(F11:M11)+(COUNTA(F11:M11)-COUNT(F11:M11))*(1+MAX(B6:B25))</f>
        <v>41</v>
      </c>
      <c r="O11" s="81">
        <f t="shared" si="0"/>
        <v>29</v>
      </c>
    </row>
    <row r="12" spans="2:15" s="76" customFormat="1" ht="11.25">
      <c r="B12" s="80">
        <v>5</v>
      </c>
      <c r="C12" s="81">
        <v>221</v>
      </c>
      <c r="D12" s="226" t="s">
        <v>533</v>
      </c>
      <c r="E12" s="227" t="s">
        <v>313</v>
      </c>
      <c r="F12" s="227">
        <v>3</v>
      </c>
      <c r="G12" s="81">
        <v>3</v>
      </c>
      <c r="H12" s="81">
        <v>5</v>
      </c>
      <c r="I12" s="81">
        <v>14</v>
      </c>
      <c r="J12" s="81">
        <v>6</v>
      </c>
      <c r="K12" s="81">
        <v>6</v>
      </c>
      <c r="L12" s="81">
        <v>10</v>
      </c>
      <c r="M12" s="80">
        <v>1</v>
      </c>
      <c r="N12" s="81">
        <f>SUM(F12:M12)+(COUNTA(F12:M12)-COUNT(F12:M12))*(1+MAX(B7:B27))</f>
        <v>48</v>
      </c>
      <c r="O12" s="81">
        <f t="shared" si="0"/>
        <v>34</v>
      </c>
    </row>
    <row r="13" spans="2:15" s="76" customFormat="1" ht="11.25">
      <c r="B13" s="80">
        <v>6</v>
      </c>
      <c r="C13" s="81">
        <v>182</v>
      </c>
      <c r="D13" s="226" t="s">
        <v>510</v>
      </c>
      <c r="E13" s="227" t="s">
        <v>313</v>
      </c>
      <c r="F13" s="227">
        <v>9</v>
      </c>
      <c r="G13" s="81">
        <v>5</v>
      </c>
      <c r="H13" s="81">
        <v>8</v>
      </c>
      <c r="I13" s="81">
        <v>10</v>
      </c>
      <c r="J13" s="81">
        <v>11</v>
      </c>
      <c r="K13" s="81">
        <v>3</v>
      </c>
      <c r="L13" s="81">
        <v>1</v>
      </c>
      <c r="M13" s="80">
        <v>7</v>
      </c>
      <c r="N13" s="81">
        <f aca="true" t="shared" si="1" ref="N13:N25">SUM(F13:M13)+(COUNTA(F13:M13)-COUNT(F13:M13))*(1+MAX(B8:B23))</f>
        <v>54</v>
      </c>
      <c r="O13" s="81">
        <f t="shared" si="0"/>
        <v>43</v>
      </c>
    </row>
    <row r="14" spans="2:15" s="76" customFormat="1" ht="11.25">
      <c r="B14" s="80">
        <v>7</v>
      </c>
      <c r="C14" s="81">
        <v>26</v>
      </c>
      <c r="D14" s="226" t="s">
        <v>535</v>
      </c>
      <c r="E14" s="227" t="s">
        <v>313</v>
      </c>
      <c r="F14" s="227">
        <v>14</v>
      </c>
      <c r="G14" s="81">
        <v>4</v>
      </c>
      <c r="H14" s="81">
        <v>1</v>
      </c>
      <c r="I14" s="81">
        <v>8</v>
      </c>
      <c r="J14" s="81">
        <v>13</v>
      </c>
      <c r="K14" s="81">
        <v>7</v>
      </c>
      <c r="L14" s="81" t="s">
        <v>361</v>
      </c>
      <c r="M14" s="80">
        <v>3</v>
      </c>
      <c r="N14" s="81">
        <f>SUM(F14:M14)+(COUNTA(F14:M14)-COUNT(F14:M14))*(1+MAX(B9:B27))</f>
        <v>69</v>
      </c>
      <c r="O14" s="81">
        <f t="shared" si="0"/>
        <v>50</v>
      </c>
    </row>
    <row r="15" spans="2:15" s="76" customFormat="1" ht="11.25">
      <c r="B15" s="80">
        <v>8</v>
      </c>
      <c r="C15" s="81">
        <v>176</v>
      </c>
      <c r="D15" s="226" t="s">
        <v>476</v>
      </c>
      <c r="E15" s="227" t="s">
        <v>313</v>
      </c>
      <c r="F15" s="227">
        <v>7</v>
      </c>
      <c r="G15" s="81">
        <v>9</v>
      </c>
      <c r="H15" s="81" t="s">
        <v>427</v>
      </c>
      <c r="I15" s="81">
        <v>5</v>
      </c>
      <c r="J15" s="81">
        <v>10</v>
      </c>
      <c r="K15" s="81">
        <v>9</v>
      </c>
      <c r="L15" s="81">
        <v>5</v>
      </c>
      <c r="M15" s="80">
        <v>10</v>
      </c>
      <c r="N15" s="81">
        <f t="shared" si="1"/>
        <v>74</v>
      </c>
      <c r="O15" s="81">
        <f t="shared" si="0"/>
        <v>55</v>
      </c>
    </row>
    <row r="16" spans="2:15" s="76" customFormat="1" ht="11.25">
      <c r="B16" s="80">
        <v>9</v>
      </c>
      <c r="C16" s="81">
        <v>49</v>
      </c>
      <c r="D16" s="226" t="s">
        <v>536</v>
      </c>
      <c r="E16" s="227" t="s">
        <v>313</v>
      </c>
      <c r="F16" s="227">
        <v>2</v>
      </c>
      <c r="G16" s="81" t="s">
        <v>427</v>
      </c>
      <c r="H16" s="81">
        <v>6</v>
      </c>
      <c r="I16" s="81">
        <v>1</v>
      </c>
      <c r="J16" s="81" t="s">
        <v>517</v>
      </c>
      <c r="K16" s="81">
        <v>8</v>
      </c>
      <c r="L16" s="81">
        <v>6</v>
      </c>
      <c r="M16" s="80" t="s">
        <v>361</v>
      </c>
      <c r="N16" s="81">
        <f>SUM(F16:M16)+(COUNTA(F16:M16)-COUNT(F16:M16))*(1+MAX(B11:B28))</f>
        <v>80</v>
      </c>
      <c r="O16" s="81">
        <f t="shared" si="0"/>
        <v>61</v>
      </c>
    </row>
    <row r="17" spans="2:15" s="76" customFormat="1" ht="11.25">
      <c r="B17" s="80">
        <v>10</v>
      </c>
      <c r="C17" s="81">
        <v>70</v>
      </c>
      <c r="D17" s="226" t="s">
        <v>545</v>
      </c>
      <c r="E17" s="227" t="s">
        <v>313</v>
      </c>
      <c r="F17" s="227">
        <v>12</v>
      </c>
      <c r="G17" s="81">
        <v>13</v>
      </c>
      <c r="H17" s="81">
        <v>11</v>
      </c>
      <c r="I17" s="81">
        <v>7</v>
      </c>
      <c r="J17" s="81">
        <v>9</v>
      </c>
      <c r="K17" s="81">
        <v>5</v>
      </c>
      <c r="L17" s="81">
        <v>7</v>
      </c>
      <c r="M17" s="80">
        <v>11</v>
      </c>
      <c r="N17" s="81">
        <f t="shared" si="1"/>
        <v>75</v>
      </c>
      <c r="O17" s="81">
        <f t="shared" si="0"/>
        <v>62</v>
      </c>
    </row>
    <row r="18" spans="2:15" s="76" customFormat="1" ht="11.25">
      <c r="B18" s="80">
        <v>11</v>
      </c>
      <c r="C18" s="81">
        <v>183</v>
      </c>
      <c r="D18" s="226" t="s">
        <v>506</v>
      </c>
      <c r="E18" s="227" t="s">
        <v>313</v>
      </c>
      <c r="F18" s="227">
        <v>10</v>
      </c>
      <c r="G18" s="81">
        <v>11</v>
      </c>
      <c r="H18" s="81">
        <v>12</v>
      </c>
      <c r="I18" s="81">
        <v>6</v>
      </c>
      <c r="J18" s="81">
        <v>7</v>
      </c>
      <c r="K18" s="81">
        <v>13</v>
      </c>
      <c r="L18" s="81">
        <v>13</v>
      </c>
      <c r="M18" s="80">
        <v>8</v>
      </c>
      <c r="N18" s="81">
        <f t="shared" si="1"/>
        <v>80</v>
      </c>
      <c r="O18" s="81">
        <f t="shared" si="0"/>
        <v>67</v>
      </c>
    </row>
    <row r="19" spans="2:15" s="76" customFormat="1" ht="11.25">
      <c r="B19" s="80">
        <v>12</v>
      </c>
      <c r="C19" s="81">
        <v>142</v>
      </c>
      <c r="D19" s="226" t="s">
        <v>507</v>
      </c>
      <c r="E19" s="227" t="s">
        <v>313</v>
      </c>
      <c r="F19" s="227">
        <v>11</v>
      </c>
      <c r="G19" s="81">
        <v>8</v>
      </c>
      <c r="H19" s="81" t="s">
        <v>427</v>
      </c>
      <c r="I19" s="81">
        <v>11</v>
      </c>
      <c r="J19" s="81">
        <v>1</v>
      </c>
      <c r="K19" s="81">
        <v>17</v>
      </c>
      <c r="L19" s="81">
        <v>12</v>
      </c>
      <c r="M19" s="80">
        <v>13</v>
      </c>
      <c r="N19" s="81">
        <f>SUM(F19:M19)+(COUNTA(F19:M19)-COUNT(F19:M19))*(1+MAX(B14:B30))</f>
        <v>92</v>
      </c>
      <c r="O19" s="81">
        <f t="shared" si="0"/>
        <v>73</v>
      </c>
    </row>
    <row r="20" spans="2:15" s="76" customFormat="1" ht="11.25">
      <c r="B20" s="80">
        <v>13</v>
      </c>
      <c r="C20" s="81">
        <v>197</v>
      </c>
      <c r="D20" s="226" t="s">
        <v>509</v>
      </c>
      <c r="E20" s="227" t="s">
        <v>313</v>
      </c>
      <c r="F20" s="227">
        <v>8</v>
      </c>
      <c r="G20" s="81">
        <v>12</v>
      </c>
      <c r="H20" s="81">
        <v>10</v>
      </c>
      <c r="I20" s="81">
        <v>15</v>
      </c>
      <c r="J20" s="81" t="s">
        <v>361</v>
      </c>
      <c r="K20" s="81">
        <v>12</v>
      </c>
      <c r="L20" s="81">
        <v>9</v>
      </c>
      <c r="M20" s="80">
        <v>9</v>
      </c>
      <c r="N20" s="81">
        <f t="shared" si="1"/>
        <v>94</v>
      </c>
      <c r="O20" s="81">
        <f t="shared" si="0"/>
        <v>75</v>
      </c>
    </row>
    <row r="21" spans="2:15" s="76" customFormat="1" ht="11.25">
      <c r="B21" s="80">
        <v>14</v>
      </c>
      <c r="C21" s="81">
        <v>41</v>
      </c>
      <c r="D21" s="226" t="s">
        <v>537</v>
      </c>
      <c r="E21" s="227" t="s">
        <v>313</v>
      </c>
      <c r="F21" s="227">
        <v>13</v>
      </c>
      <c r="G21" s="81">
        <v>10</v>
      </c>
      <c r="H21" s="81">
        <v>9</v>
      </c>
      <c r="I21" s="81">
        <v>9</v>
      </c>
      <c r="J21" s="81">
        <v>8</v>
      </c>
      <c r="K21" s="81">
        <v>14</v>
      </c>
      <c r="L21" s="81">
        <v>14</v>
      </c>
      <c r="M21" s="80">
        <v>14</v>
      </c>
      <c r="N21" s="81">
        <f t="shared" si="1"/>
        <v>91</v>
      </c>
      <c r="O21" s="81">
        <f t="shared" si="0"/>
        <v>77</v>
      </c>
    </row>
    <row r="22" spans="2:15" s="76" customFormat="1" ht="11.25">
      <c r="B22" s="80">
        <v>15</v>
      </c>
      <c r="C22" s="81">
        <v>83</v>
      </c>
      <c r="D22" s="226" t="s">
        <v>541</v>
      </c>
      <c r="E22" s="227" t="s">
        <v>313</v>
      </c>
      <c r="F22" s="227" t="s">
        <v>361</v>
      </c>
      <c r="G22" s="81" t="s">
        <v>361</v>
      </c>
      <c r="H22" s="81" t="s">
        <v>361</v>
      </c>
      <c r="I22" s="81">
        <v>16</v>
      </c>
      <c r="J22" s="81">
        <v>12</v>
      </c>
      <c r="K22" s="81">
        <v>11</v>
      </c>
      <c r="L22" s="81">
        <v>11</v>
      </c>
      <c r="M22" s="80" t="s">
        <v>361</v>
      </c>
      <c r="N22" s="81">
        <f t="shared" si="1"/>
        <v>126</v>
      </c>
      <c r="O22" s="81">
        <f t="shared" si="0"/>
        <v>107</v>
      </c>
    </row>
    <row r="23" spans="2:15" s="76" customFormat="1" ht="11.25">
      <c r="B23" s="80">
        <v>16</v>
      </c>
      <c r="C23" s="81">
        <v>117</v>
      </c>
      <c r="D23" s="226" t="s">
        <v>540</v>
      </c>
      <c r="E23" s="227" t="s">
        <v>313</v>
      </c>
      <c r="F23" s="227" t="s">
        <v>361</v>
      </c>
      <c r="G23" s="81" t="s">
        <v>361</v>
      </c>
      <c r="H23" s="81" t="s">
        <v>361</v>
      </c>
      <c r="I23" s="81">
        <v>13</v>
      </c>
      <c r="J23" s="81">
        <v>14</v>
      </c>
      <c r="K23" s="81">
        <v>15</v>
      </c>
      <c r="L23" s="81">
        <v>15</v>
      </c>
      <c r="M23" s="80">
        <v>12</v>
      </c>
      <c r="N23" s="81">
        <f t="shared" si="1"/>
        <v>126</v>
      </c>
      <c r="O23" s="81">
        <f t="shared" si="0"/>
        <v>107</v>
      </c>
    </row>
    <row r="24" spans="2:15" s="76" customFormat="1" ht="11.25">
      <c r="B24" s="80">
        <v>17</v>
      </c>
      <c r="C24" s="81">
        <v>38</v>
      </c>
      <c r="D24" s="226" t="s">
        <v>538</v>
      </c>
      <c r="E24" s="227" t="s">
        <v>313</v>
      </c>
      <c r="F24" s="227">
        <v>15</v>
      </c>
      <c r="G24" s="81">
        <v>14</v>
      </c>
      <c r="H24" s="81">
        <v>13</v>
      </c>
      <c r="I24" s="81" t="s">
        <v>361</v>
      </c>
      <c r="J24" s="81" t="s">
        <v>361</v>
      </c>
      <c r="K24" s="81">
        <v>16</v>
      </c>
      <c r="L24" s="81">
        <v>16</v>
      </c>
      <c r="M24" s="80" t="s">
        <v>361</v>
      </c>
      <c r="N24" s="81">
        <f t="shared" si="1"/>
        <v>131</v>
      </c>
      <c r="O24" s="81">
        <f t="shared" si="0"/>
        <v>112</v>
      </c>
    </row>
    <row r="25" spans="2:15" s="76" customFormat="1" ht="11.25">
      <c r="B25" s="82">
        <v>18</v>
      </c>
      <c r="C25" s="83">
        <v>16</v>
      </c>
      <c r="D25" s="228" t="s">
        <v>539</v>
      </c>
      <c r="E25" s="229" t="s">
        <v>313</v>
      </c>
      <c r="F25" s="229" t="s">
        <v>361</v>
      </c>
      <c r="G25" s="83" t="s">
        <v>361</v>
      </c>
      <c r="H25" s="83" t="s">
        <v>361</v>
      </c>
      <c r="I25" s="83">
        <v>17</v>
      </c>
      <c r="J25" s="83">
        <v>15</v>
      </c>
      <c r="K25" s="83" t="s">
        <v>361</v>
      </c>
      <c r="L25" s="83" t="s">
        <v>361</v>
      </c>
      <c r="M25" s="82" t="s">
        <v>299</v>
      </c>
      <c r="N25" s="83">
        <f t="shared" si="1"/>
        <v>146</v>
      </c>
      <c r="O25" s="83">
        <f t="shared" si="0"/>
        <v>127</v>
      </c>
    </row>
    <row r="26" spans="2:15" s="76" customFormat="1" ht="11.25">
      <c r="B26" s="230"/>
      <c r="C26" s="230"/>
      <c r="D26" s="231"/>
      <c r="E26" s="230"/>
      <c r="F26" s="230"/>
      <c r="G26" s="230"/>
      <c r="H26" s="230"/>
      <c r="I26" s="230"/>
      <c r="J26" s="230"/>
      <c r="K26" s="230"/>
      <c r="L26" s="230"/>
      <c r="M26" s="230"/>
      <c r="N26" s="230"/>
      <c r="O26" s="128"/>
    </row>
    <row r="27" ht="12.75">
      <c r="B27" s="145" t="s">
        <v>424</v>
      </c>
    </row>
    <row r="28" ht="12.75">
      <c r="B28" s="45" t="s">
        <v>532</v>
      </c>
    </row>
    <row r="34" ht="12.75">
      <c r="M34" s="143" t="s">
        <v>191</v>
      </c>
    </row>
  </sheetData>
  <sheetProtection/>
  <hyperlinks>
    <hyperlink ref="B28" r:id="rId1" display="http://www.larchmontyc.org/Race_Committee/2005_RWSR_OD_RST.pdf"/>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codeName="Sheet50"/>
  <dimension ref="A1:I44"/>
  <sheetViews>
    <sheetView zoomScalePageLayoutView="0" workbookViewId="0" topLeftCell="A1">
      <selection activeCell="D30" sqref="D30"/>
    </sheetView>
  </sheetViews>
  <sheetFormatPr defaultColWidth="9.140625" defaultRowHeight="12.75"/>
  <cols>
    <col min="3" max="3" width="14.57421875" style="0" customWidth="1"/>
  </cols>
  <sheetData>
    <row r="1" spans="1:9" ht="18">
      <c r="A1" s="383" t="s">
        <v>1191</v>
      </c>
      <c r="B1" s="383"/>
      <c r="C1" s="383"/>
      <c r="D1" s="383"/>
      <c r="E1" s="383"/>
      <c r="F1" s="383"/>
      <c r="G1" s="383"/>
      <c r="H1" s="383"/>
      <c r="I1" s="383"/>
    </row>
    <row r="2" spans="1:9" ht="15.75">
      <c r="A2" s="384" t="s">
        <v>473</v>
      </c>
      <c r="B2" s="384"/>
      <c r="C2" s="384"/>
      <c r="D2" s="384"/>
      <c r="E2" s="384"/>
      <c r="F2" s="384"/>
      <c r="G2" s="384"/>
      <c r="H2" s="384"/>
      <c r="I2" s="384"/>
    </row>
    <row r="3" spans="1:9" ht="12.75">
      <c r="A3" s="385" t="s">
        <v>1192</v>
      </c>
      <c r="B3" s="385"/>
      <c r="C3" s="385"/>
      <c r="D3" s="385"/>
      <c r="E3" s="385"/>
      <c r="F3" s="385"/>
      <c r="G3" s="385"/>
      <c r="H3" s="385"/>
      <c r="I3" s="385"/>
    </row>
    <row r="4" spans="1:9" ht="12.75">
      <c r="A4" s="386"/>
      <c r="B4" s="386"/>
      <c r="C4" s="386"/>
      <c r="D4" s="386"/>
      <c r="E4" s="386"/>
      <c r="F4" s="386"/>
      <c r="G4" s="386"/>
      <c r="H4" s="386"/>
      <c r="I4" s="386"/>
    </row>
    <row r="5" spans="1:2" ht="12.75">
      <c r="A5" s="312" t="s">
        <v>738</v>
      </c>
      <c r="B5" s="312"/>
    </row>
    <row r="6" spans="1:9" ht="12.75">
      <c r="A6" s="341"/>
      <c r="B6" s="341" t="s">
        <v>451</v>
      </c>
      <c r="C6" s="341" t="s">
        <v>551</v>
      </c>
      <c r="D6" s="341" t="s">
        <v>294</v>
      </c>
      <c r="E6" s="341" t="s">
        <v>552</v>
      </c>
      <c r="F6" s="341" t="s">
        <v>553</v>
      </c>
      <c r="G6" s="341" t="s">
        <v>569</v>
      </c>
      <c r="H6" s="341" t="s">
        <v>570</v>
      </c>
      <c r="I6" s="341" t="s">
        <v>613</v>
      </c>
    </row>
    <row r="7" spans="1:9" ht="12.75">
      <c r="A7" s="342">
        <v>1</v>
      </c>
      <c r="B7" s="343">
        <v>1222</v>
      </c>
      <c r="C7" s="342" t="s">
        <v>1193</v>
      </c>
      <c r="D7" s="343">
        <v>4</v>
      </c>
      <c r="E7" s="344">
        <v>1</v>
      </c>
      <c r="F7" s="344" t="s">
        <v>1194</v>
      </c>
      <c r="G7" s="344">
        <v>1</v>
      </c>
      <c r="H7" s="344">
        <v>1</v>
      </c>
      <c r="I7" s="344">
        <v>1</v>
      </c>
    </row>
    <row r="8" spans="1:9" ht="12.75">
      <c r="A8" s="342">
        <v>2</v>
      </c>
      <c r="B8" s="343">
        <v>1209</v>
      </c>
      <c r="C8" s="342" t="s">
        <v>1195</v>
      </c>
      <c r="D8" s="343">
        <v>8</v>
      </c>
      <c r="E8" s="344" t="s">
        <v>1196</v>
      </c>
      <c r="F8" s="344">
        <v>2</v>
      </c>
      <c r="G8" s="344">
        <v>2</v>
      </c>
      <c r="H8" s="344">
        <v>2</v>
      </c>
      <c r="I8" s="344">
        <v>2</v>
      </c>
    </row>
    <row r="9" spans="1:9" ht="12.75">
      <c r="A9" s="342">
        <v>3</v>
      </c>
      <c r="B9" s="343">
        <v>4</v>
      </c>
      <c r="C9" s="342" t="s">
        <v>1197</v>
      </c>
      <c r="D9" s="343">
        <v>13</v>
      </c>
      <c r="E9" s="344" t="s">
        <v>1194</v>
      </c>
      <c r="F9" s="344">
        <v>4</v>
      </c>
      <c r="G9" s="344">
        <v>3</v>
      </c>
      <c r="H9" s="344">
        <v>3</v>
      </c>
      <c r="I9" s="344">
        <v>3</v>
      </c>
    </row>
    <row r="10" spans="1:9" ht="12.75">
      <c r="A10" s="342">
        <v>4</v>
      </c>
      <c r="B10" s="343">
        <v>1266</v>
      </c>
      <c r="C10" s="342" t="s">
        <v>1198</v>
      </c>
      <c r="D10" s="343">
        <v>15</v>
      </c>
      <c r="E10" s="344">
        <v>2</v>
      </c>
      <c r="F10" s="344">
        <v>1</v>
      </c>
      <c r="G10" s="344" t="s">
        <v>1199</v>
      </c>
      <c r="H10" s="344" t="s">
        <v>1200</v>
      </c>
      <c r="I10" s="344" t="s">
        <v>1200</v>
      </c>
    </row>
    <row r="11" spans="1:9" ht="12.75">
      <c r="A11" s="342">
        <v>5</v>
      </c>
      <c r="B11" s="343" t="s">
        <v>1201</v>
      </c>
      <c r="C11" s="342" t="s">
        <v>1202</v>
      </c>
      <c r="D11" s="343">
        <v>17</v>
      </c>
      <c r="E11" s="344">
        <v>4</v>
      </c>
      <c r="F11" s="344">
        <v>3</v>
      </c>
      <c r="G11" s="344">
        <v>4</v>
      </c>
      <c r="H11" s="344" t="s">
        <v>1199</v>
      </c>
      <c r="I11" s="344" t="s">
        <v>1200</v>
      </c>
    </row>
    <row r="12" spans="1:9" ht="12.75">
      <c r="A12" s="345"/>
      <c r="B12" s="346"/>
      <c r="C12" s="345"/>
      <c r="D12" s="346"/>
      <c r="E12" s="329"/>
      <c r="F12" s="329"/>
      <c r="G12" s="329"/>
      <c r="H12" s="329"/>
      <c r="I12" s="329"/>
    </row>
    <row r="13" spans="1:3" ht="12.75">
      <c r="A13" s="312" t="s">
        <v>1203</v>
      </c>
      <c r="B13" s="312"/>
      <c r="C13" s="312"/>
    </row>
    <row r="14" spans="1:9" ht="12.75">
      <c r="A14" s="341"/>
      <c r="B14" s="341" t="s">
        <v>451</v>
      </c>
      <c r="C14" s="341" t="s">
        <v>551</v>
      </c>
      <c r="D14" s="341" t="s">
        <v>294</v>
      </c>
      <c r="E14" s="341" t="s">
        <v>552</v>
      </c>
      <c r="F14" s="341" t="s">
        <v>553</v>
      </c>
      <c r="G14" s="341" t="s">
        <v>569</v>
      </c>
      <c r="H14" s="341" t="s">
        <v>570</v>
      </c>
      <c r="I14" s="341" t="s">
        <v>613</v>
      </c>
    </row>
    <row r="15" spans="1:9" ht="12.75">
      <c r="A15" s="342">
        <v>1</v>
      </c>
      <c r="B15" s="343">
        <v>10</v>
      </c>
      <c r="C15" s="342" t="s">
        <v>1204</v>
      </c>
      <c r="D15" s="343">
        <v>4</v>
      </c>
      <c r="E15" s="344" t="s">
        <v>1205</v>
      </c>
      <c r="F15" s="344">
        <v>1</v>
      </c>
      <c r="G15" s="344">
        <v>1</v>
      </c>
      <c r="H15" s="344">
        <v>1</v>
      </c>
      <c r="I15" s="344">
        <v>1</v>
      </c>
    </row>
    <row r="16" spans="1:9" ht="12.75">
      <c r="A16" s="342">
        <v>2</v>
      </c>
      <c r="B16" s="343">
        <v>7</v>
      </c>
      <c r="C16" s="342" t="s">
        <v>1206</v>
      </c>
      <c r="D16" s="343">
        <v>9</v>
      </c>
      <c r="E16" s="344">
        <v>1</v>
      </c>
      <c r="F16" s="344">
        <v>3</v>
      </c>
      <c r="G16" s="344">
        <v>3</v>
      </c>
      <c r="H16" s="344">
        <v>2</v>
      </c>
      <c r="I16" s="344" t="s">
        <v>1207</v>
      </c>
    </row>
    <row r="17" spans="1:9" ht="25.5">
      <c r="A17" s="342">
        <v>3</v>
      </c>
      <c r="B17" s="343">
        <v>122</v>
      </c>
      <c r="C17" s="342" t="s">
        <v>1208</v>
      </c>
      <c r="D17" s="343">
        <v>9</v>
      </c>
      <c r="E17" s="344" t="s">
        <v>1196</v>
      </c>
      <c r="F17" s="344">
        <v>2</v>
      </c>
      <c r="G17" s="344">
        <v>2</v>
      </c>
      <c r="H17" s="344">
        <v>3</v>
      </c>
      <c r="I17" s="344">
        <v>2</v>
      </c>
    </row>
    <row r="18" spans="1:9" ht="12.75">
      <c r="A18" s="345"/>
      <c r="B18" s="346"/>
      <c r="C18" s="345"/>
      <c r="D18" s="346"/>
      <c r="E18" s="329"/>
      <c r="F18" s="329"/>
      <c r="G18" s="329"/>
      <c r="H18" s="329"/>
      <c r="I18" s="329"/>
    </row>
    <row r="19" spans="1:2" ht="12.75">
      <c r="A19" s="312" t="s">
        <v>787</v>
      </c>
      <c r="B19" s="312"/>
    </row>
    <row r="20" spans="1:9" ht="12.75">
      <c r="A20" s="341"/>
      <c r="B20" s="341" t="s">
        <v>451</v>
      </c>
      <c r="C20" s="341" t="s">
        <v>551</v>
      </c>
      <c r="D20" s="341" t="s">
        <v>294</v>
      </c>
      <c r="E20" s="341" t="s">
        <v>552</v>
      </c>
      <c r="F20" s="341" t="s">
        <v>553</v>
      </c>
      <c r="G20" s="341" t="s">
        <v>569</v>
      </c>
      <c r="H20" s="341" t="s">
        <v>570</v>
      </c>
      <c r="I20" s="341" t="s">
        <v>613</v>
      </c>
    </row>
    <row r="21" spans="1:9" ht="25.5">
      <c r="A21" s="342">
        <v>1</v>
      </c>
      <c r="B21" s="343">
        <v>23</v>
      </c>
      <c r="C21" s="342" t="s">
        <v>1209</v>
      </c>
      <c r="D21" s="343">
        <v>6</v>
      </c>
      <c r="E21" s="344" t="s">
        <v>1210</v>
      </c>
      <c r="F21" s="344">
        <v>1</v>
      </c>
      <c r="G21" s="344">
        <v>1</v>
      </c>
      <c r="H21" s="344">
        <v>2</v>
      </c>
      <c r="I21" s="344">
        <v>2</v>
      </c>
    </row>
    <row r="22" spans="1:9" ht="12.75">
      <c r="A22" s="342">
        <v>2</v>
      </c>
      <c r="B22" s="343">
        <v>25</v>
      </c>
      <c r="C22" s="342" t="s">
        <v>600</v>
      </c>
      <c r="D22" s="343">
        <v>9</v>
      </c>
      <c r="E22" s="344" t="s">
        <v>1196</v>
      </c>
      <c r="F22" s="344">
        <v>3</v>
      </c>
      <c r="G22" s="344">
        <v>2</v>
      </c>
      <c r="H22" s="344">
        <v>1</v>
      </c>
      <c r="I22" s="344">
        <v>3</v>
      </c>
    </row>
    <row r="23" spans="1:9" ht="25.5">
      <c r="A23" s="342">
        <v>3</v>
      </c>
      <c r="B23" s="343">
        <v>197</v>
      </c>
      <c r="C23" s="342" t="s">
        <v>1211</v>
      </c>
      <c r="D23" s="343">
        <v>11</v>
      </c>
      <c r="E23" s="344">
        <v>1</v>
      </c>
      <c r="F23" s="344">
        <v>2</v>
      </c>
      <c r="G23" s="344">
        <v>4</v>
      </c>
      <c r="H23" s="344" t="s">
        <v>1194</v>
      </c>
      <c r="I23" s="344">
        <v>4</v>
      </c>
    </row>
    <row r="24" spans="1:9" ht="12.75">
      <c r="A24" s="342">
        <v>4</v>
      </c>
      <c r="B24" s="343">
        <v>176</v>
      </c>
      <c r="C24" s="342" t="s">
        <v>1212</v>
      </c>
      <c r="D24" s="343">
        <v>12</v>
      </c>
      <c r="E24" s="344">
        <v>2</v>
      </c>
      <c r="F24" s="344" t="s">
        <v>1194</v>
      </c>
      <c r="G24" s="344">
        <v>5</v>
      </c>
      <c r="H24" s="344">
        <v>4</v>
      </c>
      <c r="I24" s="344">
        <v>1</v>
      </c>
    </row>
    <row r="25" spans="1:9" ht="12.75">
      <c r="A25" s="342">
        <v>5</v>
      </c>
      <c r="B25" s="343">
        <v>182</v>
      </c>
      <c r="C25" s="342" t="s">
        <v>510</v>
      </c>
      <c r="D25" s="343">
        <v>15</v>
      </c>
      <c r="E25" s="344" t="s">
        <v>1194</v>
      </c>
      <c r="F25" s="344">
        <v>4</v>
      </c>
      <c r="G25" s="344">
        <v>3</v>
      </c>
      <c r="H25" s="344">
        <v>3</v>
      </c>
      <c r="I25" s="344">
        <v>5</v>
      </c>
    </row>
    <row r="26" spans="1:9" ht="12.75">
      <c r="A26" s="342">
        <v>6</v>
      </c>
      <c r="B26" s="343">
        <v>106</v>
      </c>
      <c r="C26" s="342" t="s">
        <v>1096</v>
      </c>
      <c r="D26" s="343">
        <v>27</v>
      </c>
      <c r="E26" s="344" t="s">
        <v>1213</v>
      </c>
      <c r="F26" s="344">
        <v>7</v>
      </c>
      <c r="G26" s="344">
        <v>8</v>
      </c>
      <c r="H26" s="344">
        <v>6</v>
      </c>
      <c r="I26" s="344">
        <v>6</v>
      </c>
    </row>
    <row r="27" spans="1:9" ht="12.75">
      <c r="A27" s="342">
        <v>7</v>
      </c>
      <c r="B27" s="343">
        <v>70</v>
      </c>
      <c r="C27" s="342" t="s">
        <v>1214</v>
      </c>
      <c r="D27" s="343">
        <v>29</v>
      </c>
      <c r="E27" s="344">
        <v>6</v>
      </c>
      <c r="F27" s="344">
        <v>8</v>
      </c>
      <c r="G27" s="344">
        <v>6</v>
      </c>
      <c r="H27" s="344" t="s">
        <v>1215</v>
      </c>
      <c r="I27" s="344" t="s">
        <v>1216</v>
      </c>
    </row>
    <row r="28" spans="1:9" ht="12.75">
      <c r="A28" s="342">
        <v>8</v>
      </c>
      <c r="B28" s="343">
        <v>54</v>
      </c>
      <c r="C28" s="342" t="s">
        <v>1100</v>
      </c>
      <c r="D28" s="343">
        <v>29</v>
      </c>
      <c r="E28" s="344">
        <v>7</v>
      </c>
      <c r="F28" s="344">
        <v>6</v>
      </c>
      <c r="G28" s="344">
        <v>7</v>
      </c>
      <c r="H28" s="344" t="s">
        <v>1215</v>
      </c>
      <c r="I28" s="344" t="s">
        <v>1216</v>
      </c>
    </row>
    <row r="31" spans="1:2" ht="12.75">
      <c r="A31" s="312" t="s">
        <v>1217</v>
      </c>
      <c r="B31" s="312"/>
    </row>
    <row r="32" spans="1:9" ht="12.75">
      <c r="A32" s="341"/>
      <c r="B32" s="341" t="s">
        <v>451</v>
      </c>
      <c r="C32" s="341" t="s">
        <v>551</v>
      </c>
      <c r="D32" s="341" t="s">
        <v>294</v>
      </c>
      <c r="E32" s="341" t="s">
        <v>552</v>
      </c>
      <c r="F32" s="341" t="s">
        <v>553</v>
      </c>
      <c r="G32" s="341" t="s">
        <v>569</v>
      </c>
      <c r="H32" s="341" t="s">
        <v>570</v>
      </c>
      <c r="I32" s="341" t="s">
        <v>613</v>
      </c>
    </row>
    <row r="33" spans="1:9" ht="12.75">
      <c r="A33" s="342">
        <v>1</v>
      </c>
      <c r="B33" s="343">
        <v>8159</v>
      </c>
      <c r="C33" s="342" t="s">
        <v>1218</v>
      </c>
      <c r="D33" s="343">
        <v>4</v>
      </c>
      <c r="E33" s="344">
        <v>1</v>
      </c>
      <c r="F33" s="344" t="s">
        <v>1205</v>
      </c>
      <c r="G33" s="344">
        <v>1</v>
      </c>
      <c r="H33" s="344">
        <v>1</v>
      </c>
      <c r="I33" s="344">
        <v>1</v>
      </c>
    </row>
    <row r="34" spans="1:9" ht="25.5">
      <c r="A34" s="342">
        <v>2</v>
      </c>
      <c r="B34" s="343">
        <v>7866</v>
      </c>
      <c r="C34" s="342" t="s">
        <v>1219</v>
      </c>
      <c r="D34" s="343">
        <v>8</v>
      </c>
      <c r="E34" s="344">
        <v>2</v>
      </c>
      <c r="F34" s="344">
        <v>1</v>
      </c>
      <c r="G34" s="344">
        <v>2</v>
      </c>
      <c r="H34" s="344" t="s">
        <v>1210</v>
      </c>
      <c r="I34" s="344">
        <v>3</v>
      </c>
    </row>
    <row r="35" spans="1:9" ht="38.25">
      <c r="A35" s="342">
        <v>3</v>
      </c>
      <c r="B35" s="343">
        <v>8132</v>
      </c>
      <c r="C35" s="342" t="s">
        <v>1220</v>
      </c>
      <c r="D35" s="343">
        <v>13</v>
      </c>
      <c r="E35" s="344">
        <v>3</v>
      </c>
      <c r="F35" s="344">
        <v>3</v>
      </c>
      <c r="G35" s="344" t="s">
        <v>1194</v>
      </c>
      <c r="H35" s="344">
        <v>2</v>
      </c>
      <c r="I35" s="344">
        <v>5</v>
      </c>
    </row>
    <row r="36" spans="1:9" ht="12.75">
      <c r="A36" s="342">
        <v>4</v>
      </c>
      <c r="B36" s="343">
        <v>8059</v>
      </c>
      <c r="C36" s="342" t="s">
        <v>1221</v>
      </c>
      <c r="D36" s="343">
        <v>14</v>
      </c>
      <c r="E36" s="344">
        <v>4</v>
      </c>
      <c r="F36" s="344">
        <v>4</v>
      </c>
      <c r="G36" s="344">
        <v>4</v>
      </c>
      <c r="H36" s="344" t="s">
        <v>1194</v>
      </c>
      <c r="I36" s="344">
        <v>2</v>
      </c>
    </row>
    <row r="37" spans="1:9" ht="12.75">
      <c r="A37" s="342">
        <v>5</v>
      </c>
      <c r="B37" s="343">
        <v>7763</v>
      </c>
      <c r="C37" s="342" t="s">
        <v>1222</v>
      </c>
      <c r="D37" s="343">
        <v>15</v>
      </c>
      <c r="E37" s="344" t="s">
        <v>1194</v>
      </c>
      <c r="F37" s="344">
        <v>5</v>
      </c>
      <c r="G37" s="344">
        <v>3</v>
      </c>
      <c r="H37" s="344">
        <v>3</v>
      </c>
      <c r="I37" s="344">
        <v>4</v>
      </c>
    </row>
    <row r="38" spans="1:9" ht="12.75">
      <c r="A38" s="347"/>
      <c r="B38" s="346"/>
      <c r="C38" s="345"/>
      <c r="D38" s="346"/>
      <c r="E38" s="329"/>
      <c r="F38" s="329"/>
      <c r="G38" s="329"/>
      <c r="H38" s="329"/>
      <c r="I38" s="329"/>
    </row>
    <row r="39" spans="1:2" ht="12.75">
      <c r="A39" s="312" t="s">
        <v>788</v>
      </c>
      <c r="B39" s="312"/>
    </row>
    <row r="40" spans="1:9" ht="12.75">
      <c r="A40" s="341"/>
      <c r="B40" s="341" t="s">
        <v>451</v>
      </c>
      <c r="C40" s="341" t="s">
        <v>551</v>
      </c>
      <c r="D40" s="341" t="s">
        <v>294</v>
      </c>
      <c r="E40" s="341" t="s">
        <v>552</v>
      </c>
      <c r="F40" s="341" t="s">
        <v>553</v>
      </c>
      <c r="G40" s="341" t="s">
        <v>569</v>
      </c>
      <c r="H40" s="341" t="s">
        <v>570</v>
      </c>
      <c r="I40" s="341" t="s">
        <v>613</v>
      </c>
    </row>
    <row r="41" spans="1:9" ht="12.75">
      <c r="A41" s="342">
        <v>1</v>
      </c>
      <c r="B41" s="343">
        <v>20</v>
      </c>
      <c r="C41" s="342" t="s">
        <v>1223</v>
      </c>
      <c r="D41" s="343">
        <v>5</v>
      </c>
      <c r="E41" s="344">
        <v>1</v>
      </c>
      <c r="F41" s="344">
        <v>1</v>
      </c>
      <c r="G41" s="344">
        <v>1</v>
      </c>
      <c r="H41" s="344" t="s">
        <v>1205</v>
      </c>
      <c r="I41" s="344">
        <v>2</v>
      </c>
    </row>
    <row r="42" spans="1:9" ht="12.75">
      <c r="A42" s="342">
        <v>2</v>
      </c>
      <c r="B42" s="343">
        <v>12</v>
      </c>
      <c r="C42" s="342" t="s">
        <v>1224</v>
      </c>
      <c r="D42" s="343">
        <v>7</v>
      </c>
      <c r="E42" s="344">
        <v>2</v>
      </c>
      <c r="F42" s="344">
        <v>2</v>
      </c>
      <c r="G42" s="344">
        <v>2</v>
      </c>
      <c r="H42" s="344">
        <v>1</v>
      </c>
      <c r="I42" s="344" t="s">
        <v>1196</v>
      </c>
    </row>
    <row r="43" spans="1:9" ht="12.75">
      <c r="A43" s="342">
        <v>3</v>
      </c>
      <c r="B43" s="343" t="s">
        <v>1225</v>
      </c>
      <c r="C43" s="342" t="s">
        <v>1226</v>
      </c>
      <c r="D43" s="343">
        <v>11</v>
      </c>
      <c r="E43" s="344">
        <v>3</v>
      </c>
      <c r="F43" s="344" t="s">
        <v>1227</v>
      </c>
      <c r="G43" s="344" t="s">
        <v>1228</v>
      </c>
      <c r="H43" s="344">
        <v>3</v>
      </c>
      <c r="I43" s="344">
        <v>1</v>
      </c>
    </row>
    <row r="44" spans="1:9" ht="12.75">
      <c r="A44" s="345"/>
      <c r="B44" s="346"/>
      <c r="C44" s="345"/>
      <c r="D44" s="346"/>
      <c r="E44" s="329"/>
      <c r="F44" s="329"/>
      <c r="G44" s="329"/>
      <c r="H44" s="329"/>
      <c r="I44" s="329"/>
    </row>
  </sheetData>
  <sheetProtection/>
  <mergeCells count="4">
    <mergeCell ref="A1:I1"/>
    <mergeCell ref="A2:I2"/>
    <mergeCell ref="A3:I3"/>
    <mergeCell ref="A4:I4"/>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sheetPr codeName="Sheet4"/>
  <dimension ref="B1:W37"/>
  <sheetViews>
    <sheetView zoomScalePageLayoutView="0" workbookViewId="0" topLeftCell="A1">
      <selection activeCell="D32" sqref="D32"/>
    </sheetView>
  </sheetViews>
  <sheetFormatPr defaultColWidth="9.140625" defaultRowHeight="12.75"/>
  <cols>
    <col min="1" max="1" width="3.00390625" style="150"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23" width="4.140625" style="27" customWidth="1"/>
    <col min="24" max="16384" width="9.140625" style="27" customWidth="1"/>
  </cols>
  <sheetData>
    <row r="1" ht="11.25">
      <c r="L1" s="27" t="s">
        <v>191</v>
      </c>
    </row>
    <row r="2" ht="11.25">
      <c r="D2" s="23" t="s">
        <v>500</v>
      </c>
    </row>
    <row r="3" ht="11.25">
      <c r="D3" s="27" t="s">
        <v>750</v>
      </c>
    </row>
    <row r="4" spans="4:23" ht="11.25">
      <c r="D4" s="27" t="s">
        <v>310</v>
      </c>
      <c r="H4" s="139" t="s">
        <v>301</v>
      </c>
      <c r="I4" s="29"/>
      <c r="J4" s="29"/>
      <c r="K4" s="29"/>
      <c r="L4" s="29"/>
      <c r="M4" s="29"/>
      <c r="N4" s="29"/>
      <c r="O4" s="29"/>
      <c r="P4" s="29"/>
      <c r="Q4" s="29"/>
      <c r="R4" s="29"/>
      <c r="S4" s="29"/>
      <c r="T4" s="29"/>
      <c r="U4" s="29"/>
      <c r="V4" s="29"/>
      <c r="W4" s="30"/>
    </row>
    <row r="5" spans="4:23" ht="11.25">
      <c r="D5" s="191"/>
      <c r="H5" s="53" t="s">
        <v>312</v>
      </c>
      <c r="I5" s="375" t="s">
        <v>546</v>
      </c>
      <c r="J5" s="377"/>
      <c r="K5" s="376" t="s">
        <v>315</v>
      </c>
      <c r="L5" s="376"/>
      <c r="M5" s="376"/>
      <c r="N5" s="376"/>
      <c r="O5" s="376"/>
      <c r="P5" s="376"/>
      <c r="Q5" s="376"/>
      <c r="R5" s="375" t="s">
        <v>313</v>
      </c>
      <c r="S5" s="376"/>
      <c r="T5" s="52" t="s">
        <v>738</v>
      </c>
      <c r="U5" s="51"/>
      <c r="V5" s="52" t="s">
        <v>660</v>
      </c>
      <c r="W5" s="125"/>
    </row>
    <row r="6" spans="3:23" ht="11.25">
      <c r="C6" s="37"/>
      <c r="D6" s="126"/>
      <c r="E6" s="105"/>
      <c r="F6" s="115"/>
      <c r="G6" s="116" t="s">
        <v>184</v>
      </c>
      <c r="H6" s="41" t="s">
        <v>515</v>
      </c>
      <c r="I6" s="50" t="s">
        <v>515</v>
      </c>
      <c r="J6" s="50" t="s">
        <v>515</v>
      </c>
      <c r="K6" s="50" t="s">
        <v>295</v>
      </c>
      <c r="L6" s="50" t="s">
        <v>295</v>
      </c>
      <c r="M6" s="50" t="s">
        <v>295</v>
      </c>
      <c r="N6" s="50" t="s">
        <v>295</v>
      </c>
      <c r="O6" s="50" t="s">
        <v>295</v>
      </c>
      <c r="P6" s="50" t="s">
        <v>295</v>
      </c>
      <c r="Q6" s="50" t="s">
        <v>295</v>
      </c>
      <c r="R6" s="41"/>
      <c r="S6" s="41"/>
      <c r="T6" s="41"/>
      <c r="U6" s="41"/>
      <c r="V6" s="41"/>
      <c r="W6" s="41"/>
    </row>
    <row r="7" spans="3:23" ht="11.25">
      <c r="C7" s="39"/>
      <c r="D7" s="63"/>
      <c r="E7" s="56"/>
      <c r="F7" s="117"/>
      <c r="G7" s="118" t="s">
        <v>185</v>
      </c>
      <c r="H7" s="41">
        <v>135</v>
      </c>
      <c r="I7" s="41">
        <v>200</v>
      </c>
      <c r="J7" s="41">
        <v>200</v>
      </c>
      <c r="K7" s="41">
        <v>175</v>
      </c>
      <c r="L7" s="41">
        <v>175</v>
      </c>
      <c r="M7" s="41">
        <v>175</v>
      </c>
      <c r="N7" s="41">
        <v>175</v>
      </c>
      <c r="O7" s="41">
        <v>175</v>
      </c>
      <c r="P7" s="41">
        <v>175</v>
      </c>
      <c r="Q7" s="41">
        <v>175</v>
      </c>
      <c r="R7" s="41"/>
      <c r="S7" s="41"/>
      <c r="T7" s="41"/>
      <c r="U7" s="41"/>
      <c r="V7" s="41"/>
      <c r="W7" s="41"/>
    </row>
    <row r="8" spans="3:23" ht="11.25">
      <c r="C8" s="39"/>
      <c r="D8" s="63"/>
      <c r="E8" s="56"/>
      <c r="F8" s="117"/>
      <c r="G8" s="118" t="s">
        <v>186</v>
      </c>
      <c r="H8" s="41">
        <v>2</v>
      </c>
      <c r="I8" s="43">
        <v>2</v>
      </c>
      <c r="J8" s="43">
        <v>1</v>
      </c>
      <c r="K8" s="43">
        <v>15</v>
      </c>
      <c r="L8" s="43">
        <v>15</v>
      </c>
      <c r="M8" s="43">
        <v>15</v>
      </c>
      <c r="N8" s="43">
        <v>15</v>
      </c>
      <c r="O8" s="43">
        <v>10</v>
      </c>
      <c r="P8" s="43">
        <v>8</v>
      </c>
      <c r="Q8" s="43">
        <v>5</v>
      </c>
      <c r="R8" s="43"/>
      <c r="S8" s="43"/>
      <c r="T8" s="43"/>
      <c r="U8" s="43"/>
      <c r="V8" s="43"/>
      <c r="W8" s="43"/>
    </row>
    <row r="9" spans="3:23" ht="11.25">
      <c r="C9" s="60"/>
      <c r="D9" s="127"/>
      <c r="E9" s="56">
        <f>COUNTIF($H9:W9,"&gt;0")</f>
        <v>16</v>
      </c>
      <c r="F9" s="119"/>
      <c r="G9" s="120" t="s">
        <v>187</v>
      </c>
      <c r="H9" s="41">
        <v>13</v>
      </c>
      <c r="I9" s="41">
        <v>8</v>
      </c>
      <c r="J9" s="41">
        <v>8</v>
      </c>
      <c r="K9" s="41">
        <v>8</v>
      </c>
      <c r="L9" s="41">
        <v>8</v>
      </c>
      <c r="M9" s="41">
        <v>7</v>
      </c>
      <c r="N9" s="41">
        <v>7</v>
      </c>
      <c r="O9" s="41">
        <v>8</v>
      </c>
      <c r="P9" s="41">
        <v>8</v>
      </c>
      <c r="Q9" s="41">
        <v>7</v>
      </c>
      <c r="R9" s="41">
        <v>6</v>
      </c>
      <c r="S9" s="41">
        <v>4</v>
      </c>
      <c r="T9" s="41">
        <v>7</v>
      </c>
      <c r="U9" s="41">
        <v>6</v>
      </c>
      <c r="V9" s="41">
        <v>6</v>
      </c>
      <c r="W9" s="41">
        <v>6</v>
      </c>
    </row>
    <row r="10" spans="3:23" ht="37.5">
      <c r="C10" s="50" t="s">
        <v>451</v>
      </c>
      <c r="D10" s="124" t="s">
        <v>422</v>
      </c>
      <c r="E10" s="36" t="s">
        <v>188</v>
      </c>
      <c r="F10" s="113" t="s">
        <v>189</v>
      </c>
      <c r="G10" s="114" t="s">
        <v>190</v>
      </c>
      <c r="H10" s="149">
        <v>38205</v>
      </c>
      <c r="I10" s="36">
        <v>38219</v>
      </c>
      <c r="J10" s="36">
        <v>38219</v>
      </c>
      <c r="K10" s="36">
        <v>38226</v>
      </c>
      <c r="L10" s="36">
        <v>38226</v>
      </c>
      <c r="M10" s="36">
        <v>38226</v>
      </c>
      <c r="N10" s="36">
        <v>38226</v>
      </c>
      <c r="O10" s="36">
        <v>38227</v>
      </c>
      <c r="P10" s="36">
        <v>38227</v>
      </c>
      <c r="Q10" s="36">
        <v>38227</v>
      </c>
      <c r="R10" s="36">
        <v>38233</v>
      </c>
      <c r="S10" s="36">
        <v>38233</v>
      </c>
      <c r="T10" s="36">
        <v>38261</v>
      </c>
      <c r="U10" s="36">
        <v>38261</v>
      </c>
      <c r="V10" s="36">
        <v>38269</v>
      </c>
      <c r="W10" s="36">
        <v>38269</v>
      </c>
    </row>
    <row r="11" spans="2:23" ht="11.25">
      <c r="B11" s="150">
        <v>1</v>
      </c>
      <c r="C11" s="38">
        <v>25</v>
      </c>
      <c r="D11" s="37" t="s">
        <v>357</v>
      </c>
      <c r="E11" s="48">
        <f>COUNTA(H11:W11)+VLOOKUP(C11,'2005Season'!$AZ$11:$BD$30,5,FALSE)</f>
        <v>15</v>
      </c>
      <c r="F11" s="48">
        <f aca="true" t="shared" si="0" ref="F11:F29">MIN(INT(E11/10),3)</f>
        <v>1</v>
      </c>
      <c r="G11" s="146">
        <f>C_S_G($H11:W11,$H$9:W$9,csg_table,E$9,F11)</f>
        <v>0.8955026455026455</v>
      </c>
      <c r="H11" s="48">
        <v>8</v>
      </c>
      <c r="I11" s="48">
        <v>5</v>
      </c>
      <c r="J11" s="48">
        <v>1</v>
      </c>
      <c r="K11" s="48">
        <v>3</v>
      </c>
      <c r="L11" s="48">
        <v>3</v>
      </c>
      <c r="M11" s="48">
        <v>6</v>
      </c>
      <c r="N11" s="48">
        <v>1</v>
      </c>
      <c r="O11" s="48">
        <v>3</v>
      </c>
      <c r="P11" s="48">
        <v>2</v>
      </c>
      <c r="Q11" s="48">
        <v>1</v>
      </c>
      <c r="R11" s="48"/>
      <c r="S11" s="48"/>
      <c r="T11" s="48">
        <v>1</v>
      </c>
      <c r="U11" s="48">
        <v>2</v>
      </c>
      <c r="V11" s="48"/>
      <c r="W11" s="48"/>
    </row>
    <row r="12" spans="2:23" ht="11.25">
      <c r="B12" s="150">
        <v>2</v>
      </c>
      <c r="C12" s="40">
        <v>182</v>
      </c>
      <c r="D12" s="39" t="s">
        <v>359</v>
      </c>
      <c r="E12" s="32">
        <f>COUNTA(H12:W12)+VLOOKUP(C12,'2005Season'!$AZ$11:$BD$30,5,FALSE)</f>
        <v>12</v>
      </c>
      <c r="F12" s="32">
        <f t="shared" si="0"/>
        <v>1</v>
      </c>
      <c r="G12" s="147">
        <f>C_S_G($H12:W12,$H$9:W$9,csg_table,E$9,F12)</f>
        <v>0.8877887788778878</v>
      </c>
      <c r="H12" s="32">
        <v>5</v>
      </c>
      <c r="I12" s="32"/>
      <c r="J12" s="32"/>
      <c r="K12" s="32">
        <v>1</v>
      </c>
      <c r="L12" s="32">
        <v>2</v>
      </c>
      <c r="M12" s="32">
        <v>3</v>
      </c>
      <c r="N12" s="32">
        <v>3</v>
      </c>
      <c r="O12" s="32">
        <v>2</v>
      </c>
      <c r="P12" s="32">
        <v>4</v>
      </c>
      <c r="Q12" s="32">
        <v>2</v>
      </c>
      <c r="R12" s="32"/>
      <c r="S12" s="32"/>
      <c r="T12" s="32"/>
      <c r="U12" s="32"/>
      <c r="V12" s="32">
        <v>3</v>
      </c>
      <c r="W12" s="32">
        <v>2</v>
      </c>
    </row>
    <row r="13" spans="2:23" ht="11.25">
      <c r="B13" s="150">
        <v>3</v>
      </c>
      <c r="C13" s="40">
        <v>23</v>
      </c>
      <c r="D13" s="39" t="s">
        <v>503</v>
      </c>
      <c r="E13" s="32">
        <f>COUNTA(H13:W13)+VLOOKUP(C13,'2005Season'!$AZ$11:$BD$30,5,FALSE)</f>
        <v>11</v>
      </c>
      <c r="F13" s="32">
        <f t="shared" si="0"/>
        <v>1</v>
      </c>
      <c r="G13" s="147">
        <f>C_S_G($H13:W13,$H$9:W$9,csg_table,E$9,F13)</f>
        <v>0.8847736625514403</v>
      </c>
      <c r="H13" s="32">
        <v>11</v>
      </c>
      <c r="I13" s="32"/>
      <c r="J13" s="32"/>
      <c r="K13" s="32">
        <v>6</v>
      </c>
      <c r="L13" s="32">
        <v>1</v>
      </c>
      <c r="M13" s="32">
        <v>2</v>
      </c>
      <c r="N13" s="32">
        <v>2</v>
      </c>
      <c r="O13" s="32">
        <v>1</v>
      </c>
      <c r="P13" s="32">
        <v>3</v>
      </c>
      <c r="Q13" s="32">
        <v>4</v>
      </c>
      <c r="R13" s="32"/>
      <c r="S13" s="32"/>
      <c r="T13" s="32"/>
      <c r="U13" s="32"/>
      <c r="V13" s="32"/>
      <c r="W13" s="32"/>
    </row>
    <row r="14" spans="2:23" ht="11.25">
      <c r="B14" s="150">
        <v>4</v>
      </c>
      <c r="C14" s="40">
        <v>142</v>
      </c>
      <c r="D14" s="39" t="s">
        <v>410</v>
      </c>
      <c r="E14" s="32">
        <f>COUNTA(H14:W14)+VLOOKUP(C14,'2005Season'!$AZ$11:$BD$30,5,FALSE)</f>
        <v>15</v>
      </c>
      <c r="F14" s="32">
        <f t="shared" si="0"/>
        <v>1</v>
      </c>
      <c r="G14" s="147">
        <f>C_S_G($H14:W14,$H$9:W$9,csg_table,E$9,F14)</f>
        <v>0.8531746031746031</v>
      </c>
      <c r="H14" s="32">
        <v>10</v>
      </c>
      <c r="I14" s="32">
        <v>7</v>
      </c>
      <c r="J14" s="32">
        <v>4</v>
      </c>
      <c r="K14" s="32">
        <v>2</v>
      </c>
      <c r="L14" s="32">
        <v>4</v>
      </c>
      <c r="M14" s="32">
        <v>1</v>
      </c>
      <c r="N14" s="32">
        <v>4</v>
      </c>
      <c r="O14" s="32">
        <v>5</v>
      </c>
      <c r="P14" s="32">
        <v>1</v>
      </c>
      <c r="Q14" s="32">
        <v>3</v>
      </c>
      <c r="R14" s="32">
        <v>1</v>
      </c>
      <c r="S14" s="32"/>
      <c r="T14" s="32">
        <v>4</v>
      </c>
      <c r="U14" s="32"/>
      <c r="V14" s="32"/>
      <c r="W14" s="32"/>
    </row>
    <row r="15" spans="2:23" ht="11.25">
      <c r="B15" s="150">
        <v>5</v>
      </c>
      <c r="C15" s="40">
        <v>176</v>
      </c>
      <c r="D15" s="39" t="s">
        <v>527</v>
      </c>
      <c r="E15" s="32">
        <f>COUNTA(H15:W15)+VLOOKUP(C15,'2005Season'!$AZ$11:$BD$30,5,FALSE)</f>
        <v>12</v>
      </c>
      <c r="F15" s="32">
        <f t="shared" si="0"/>
        <v>1</v>
      </c>
      <c r="G15" s="147">
        <f>C_S_G($H15:W15,$H$9:W$9,csg_table,E$9,F15)</f>
        <v>0.808868501529052</v>
      </c>
      <c r="H15" s="32">
        <v>4</v>
      </c>
      <c r="I15" s="32">
        <v>1</v>
      </c>
      <c r="J15" s="32">
        <v>2</v>
      </c>
      <c r="K15" s="32">
        <v>5</v>
      </c>
      <c r="L15" s="32">
        <v>6</v>
      </c>
      <c r="M15" s="32">
        <v>7</v>
      </c>
      <c r="N15" s="32">
        <v>5</v>
      </c>
      <c r="O15" s="32">
        <v>4</v>
      </c>
      <c r="P15" s="32">
        <v>5</v>
      </c>
      <c r="Q15" s="32">
        <v>6</v>
      </c>
      <c r="R15" s="32"/>
      <c r="S15" s="32"/>
      <c r="T15" s="32"/>
      <c r="U15" s="32"/>
      <c r="V15" s="32"/>
      <c r="W15" s="32"/>
    </row>
    <row r="16" spans="2:23" ht="11.25">
      <c r="B16" s="150">
        <v>6</v>
      </c>
      <c r="C16" s="40">
        <v>41</v>
      </c>
      <c r="D16" s="39" t="s">
        <v>417</v>
      </c>
      <c r="E16" s="32">
        <f>COUNTA(H16:W16)+VLOOKUP(C16,'2005Season'!$AZ$11:$BD$30,5,FALSE)</f>
        <v>9</v>
      </c>
      <c r="F16" s="32">
        <f t="shared" si="0"/>
        <v>0</v>
      </c>
      <c r="G16" s="147">
        <f>C_S_G($H16:W16,$H$9:W$9,csg_table,E$9,F16)</f>
        <v>0.7729166666666667</v>
      </c>
      <c r="H16" s="32">
        <v>3</v>
      </c>
      <c r="I16" s="32">
        <v>6</v>
      </c>
      <c r="J16" s="32">
        <v>8</v>
      </c>
      <c r="K16" s="32"/>
      <c r="L16" s="32"/>
      <c r="M16" s="32"/>
      <c r="N16" s="32"/>
      <c r="O16" s="32"/>
      <c r="P16" s="32"/>
      <c r="Q16" s="32"/>
      <c r="R16" s="32"/>
      <c r="S16" s="32"/>
      <c r="T16" s="32">
        <v>5</v>
      </c>
      <c r="U16" s="32">
        <v>4</v>
      </c>
      <c r="V16" s="32">
        <v>4</v>
      </c>
      <c r="W16" s="32">
        <v>3</v>
      </c>
    </row>
    <row r="17" spans="2:23" ht="11.25">
      <c r="B17" s="150">
        <v>7</v>
      </c>
      <c r="C17" s="40">
        <v>117</v>
      </c>
      <c r="D17" s="39" t="s">
        <v>405</v>
      </c>
      <c r="E17" s="32">
        <f>COUNTA(H17:W17)+VLOOKUP(C17,'2005Season'!$AZ$11:$BD$30,5,FALSE)</f>
        <v>14</v>
      </c>
      <c r="F17" s="32">
        <f t="shared" si="0"/>
        <v>1</v>
      </c>
      <c r="G17" s="147">
        <f>C_S_G($H17:W17,$H$9:W$9,csg_table,E$9,F17)</f>
        <v>0.7462482946793997</v>
      </c>
      <c r="H17" s="32" t="s">
        <v>299</v>
      </c>
      <c r="I17" s="32">
        <v>2</v>
      </c>
      <c r="J17" s="32">
        <v>5</v>
      </c>
      <c r="K17" s="32">
        <v>7</v>
      </c>
      <c r="L17" s="32">
        <v>5</v>
      </c>
      <c r="M17" s="32">
        <v>4</v>
      </c>
      <c r="N17" s="32">
        <v>6</v>
      </c>
      <c r="O17" s="32">
        <v>7</v>
      </c>
      <c r="P17" s="32">
        <v>6</v>
      </c>
      <c r="Q17" s="32">
        <v>5</v>
      </c>
      <c r="R17" s="32">
        <v>5</v>
      </c>
      <c r="S17" s="32">
        <v>4</v>
      </c>
      <c r="T17" s="32"/>
      <c r="U17" s="32"/>
      <c r="V17" s="32"/>
      <c r="W17" s="32"/>
    </row>
    <row r="18" spans="2:23" ht="11.25">
      <c r="B18" s="150">
        <v>8</v>
      </c>
      <c r="C18" s="50">
        <v>38</v>
      </c>
      <c r="D18" s="60" t="s">
        <v>404</v>
      </c>
      <c r="E18" s="34">
        <f>COUNTA(H18:W18)+VLOOKUP(C18,'2005Season'!$AZ$11:$BD$30,5,FALSE)</f>
        <v>12</v>
      </c>
      <c r="F18" s="34">
        <f t="shared" si="0"/>
        <v>1</v>
      </c>
      <c r="G18" s="148">
        <f>C_S_G($H18:W18,$H$9:W$9,csg_table,E$9,F18)</f>
        <v>0.6770833333333334</v>
      </c>
      <c r="H18" s="34">
        <v>12</v>
      </c>
      <c r="I18" s="34">
        <v>8</v>
      </c>
      <c r="J18" s="34">
        <v>7</v>
      </c>
      <c r="K18" s="34"/>
      <c r="L18" s="34"/>
      <c r="M18" s="34"/>
      <c r="N18" s="34"/>
      <c r="O18" s="34">
        <v>8</v>
      </c>
      <c r="P18" s="34">
        <v>7</v>
      </c>
      <c r="Q18" s="34">
        <v>7</v>
      </c>
      <c r="R18" s="34" t="s">
        <v>299</v>
      </c>
      <c r="S18" s="34"/>
      <c r="T18" s="34">
        <v>7</v>
      </c>
      <c r="U18" s="34">
        <v>6</v>
      </c>
      <c r="V18" s="34">
        <v>5</v>
      </c>
      <c r="W18" s="34" t="s">
        <v>299</v>
      </c>
    </row>
    <row r="19" spans="2:23" ht="11.25">
      <c r="B19" s="150"/>
      <c r="C19" s="40">
        <v>49</v>
      </c>
      <c r="D19" s="39" t="s">
        <v>526</v>
      </c>
      <c r="E19" s="32">
        <f>COUNTA(H19:W19)+VLOOKUP(C19,'2005Season'!$AZ$11:$BD$30,5,FALSE)</f>
        <v>1</v>
      </c>
      <c r="F19" s="32">
        <f t="shared" si="0"/>
        <v>0</v>
      </c>
      <c r="G19" s="147">
        <f>C_S_G($H19:W19,$H$9:W$9,csg_table,E$9,F19)</f>
        <v>1</v>
      </c>
      <c r="H19" s="32">
        <v>1</v>
      </c>
      <c r="I19" s="32"/>
      <c r="J19" s="32"/>
      <c r="K19" s="32"/>
      <c r="L19" s="32"/>
      <c r="M19" s="32"/>
      <c r="N19" s="32"/>
      <c r="O19" s="32"/>
      <c r="P19" s="32"/>
      <c r="Q19" s="32"/>
      <c r="R19" s="32"/>
      <c r="S19" s="32"/>
      <c r="T19" s="32"/>
      <c r="U19" s="32"/>
      <c r="V19" s="32"/>
      <c r="W19" s="32"/>
    </row>
    <row r="20" spans="2:23" ht="11.25">
      <c r="B20" s="150"/>
      <c r="C20" s="40">
        <v>221</v>
      </c>
      <c r="D20" s="39" t="s">
        <v>407</v>
      </c>
      <c r="E20" s="32">
        <f>COUNTA(H20:W20)+VLOOKUP(C20,'2005Season'!$AZ$11:$BD$30,5,FALSE)</f>
        <v>7</v>
      </c>
      <c r="F20" s="32">
        <f t="shared" si="0"/>
        <v>0</v>
      </c>
      <c r="G20" s="147">
        <f>C_S_G($H20:W20,$H$9:W$9,csg_table,E$9,F20)</f>
        <v>0.9050445103857567</v>
      </c>
      <c r="H20" s="32">
        <v>2</v>
      </c>
      <c r="I20" s="32">
        <v>3</v>
      </c>
      <c r="J20" s="32">
        <v>3</v>
      </c>
      <c r="K20" s="32"/>
      <c r="L20" s="32"/>
      <c r="M20" s="32"/>
      <c r="N20" s="32"/>
      <c r="O20" s="32"/>
      <c r="P20" s="32"/>
      <c r="Q20" s="32"/>
      <c r="R20" s="32">
        <v>2</v>
      </c>
      <c r="S20" s="32">
        <v>1</v>
      </c>
      <c r="T20" s="32"/>
      <c r="U20" s="32"/>
      <c r="V20" s="32"/>
      <c r="W20" s="32"/>
    </row>
    <row r="21" spans="2:23" ht="11.25">
      <c r="B21" s="150"/>
      <c r="C21" s="40">
        <v>231</v>
      </c>
      <c r="D21" s="39" t="s">
        <v>419</v>
      </c>
      <c r="E21" s="32">
        <f>COUNTA(H21:W21)+VLOOKUP(C21,'2005Season'!$AZ$11:$BD$30,5,FALSE)</f>
        <v>7</v>
      </c>
      <c r="F21" s="32">
        <f t="shared" si="0"/>
        <v>0</v>
      </c>
      <c r="G21" s="147">
        <f>C_S_G($H21:W21,$H$9:W$9,csg_table,E$9,F21)</f>
        <v>0.8630952380952381</v>
      </c>
      <c r="H21" s="32">
        <v>6</v>
      </c>
      <c r="I21" s="32"/>
      <c r="J21" s="32"/>
      <c r="K21" s="32"/>
      <c r="L21" s="32"/>
      <c r="M21" s="32"/>
      <c r="N21" s="32"/>
      <c r="O21" s="32"/>
      <c r="P21" s="32"/>
      <c r="Q21" s="32"/>
      <c r="R21" s="32"/>
      <c r="S21" s="32"/>
      <c r="T21" s="32">
        <v>2</v>
      </c>
      <c r="U21" s="32">
        <v>1</v>
      </c>
      <c r="V21" s="32">
        <v>2</v>
      </c>
      <c r="W21" s="32">
        <v>4</v>
      </c>
    </row>
    <row r="22" spans="2:23" ht="11.25">
      <c r="B22" s="150"/>
      <c r="C22" s="40">
        <v>54</v>
      </c>
      <c r="D22" s="39" t="s">
        <v>414</v>
      </c>
      <c r="E22" s="32">
        <f>COUNTA(H22:W22)+VLOOKUP(C22,'2005Season'!$AZ$11:$BD$30,5,FALSE)</f>
        <v>3</v>
      </c>
      <c r="F22" s="32">
        <f t="shared" si="0"/>
        <v>0</v>
      </c>
      <c r="G22" s="147">
        <f>C_S_G($H22:W22,$H$9:W$9,csg_table,E$9,F22)</f>
        <v>0.8412698412698413</v>
      </c>
      <c r="H22" s="32"/>
      <c r="I22" s="32"/>
      <c r="J22" s="32"/>
      <c r="K22" s="32"/>
      <c r="L22" s="32"/>
      <c r="M22" s="32"/>
      <c r="N22" s="32"/>
      <c r="O22" s="32"/>
      <c r="P22" s="32"/>
      <c r="Q22" s="32"/>
      <c r="R22" s="32"/>
      <c r="S22" s="32"/>
      <c r="T22" s="32">
        <v>3</v>
      </c>
      <c r="U22" s="32">
        <v>3</v>
      </c>
      <c r="V22" s="32"/>
      <c r="W22" s="32"/>
    </row>
    <row r="23" spans="2:23" ht="11.25">
      <c r="B23" s="150"/>
      <c r="C23" s="40">
        <v>106</v>
      </c>
      <c r="D23" s="39" t="s">
        <v>505</v>
      </c>
      <c r="E23" s="32">
        <f>COUNTA(H23:W23)+VLOOKUP(C23,'2005Season'!$AZ$11:$BD$30,5,FALSE)</f>
        <v>4</v>
      </c>
      <c r="F23" s="32">
        <f t="shared" si="0"/>
        <v>0</v>
      </c>
      <c r="G23" s="147">
        <f>C_S_G($H23:W23,$H$9:W$9,csg_table,E$9,F23)</f>
        <v>0.8058252427184466</v>
      </c>
      <c r="H23" s="32"/>
      <c r="I23" s="32"/>
      <c r="J23" s="32"/>
      <c r="K23" s="32"/>
      <c r="L23" s="32"/>
      <c r="M23" s="32"/>
      <c r="N23" s="32"/>
      <c r="O23" s="32"/>
      <c r="P23" s="32"/>
      <c r="Q23" s="32"/>
      <c r="R23" s="32">
        <v>4</v>
      </c>
      <c r="S23" s="32">
        <v>2</v>
      </c>
      <c r="T23" s="32"/>
      <c r="U23" s="32"/>
      <c r="V23" s="32"/>
      <c r="W23" s="32"/>
    </row>
    <row r="24" spans="2:23" ht="11.25">
      <c r="B24" s="150"/>
      <c r="C24" s="40">
        <v>70</v>
      </c>
      <c r="D24" s="39" t="s">
        <v>409</v>
      </c>
      <c r="E24" s="32">
        <f>COUNTA(H24:W24)+VLOOKUP(C24,'2005Season'!$AZ$11:$BD$30,5,FALSE)</f>
        <v>7</v>
      </c>
      <c r="F24" s="32">
        <f>MIN(INT(E24/10),3)</f>
        <v>0</v>
      </c>
      <c r="G24" s="147">
        <f>C_S_G($H24:W24,$H$9:W$9,csg_table,E$9,F24)</f>
        <v>0.7626112759643917</v>
      </c>
      <c r="H24" s="32">
        <v>9</v>
      </c>
      <c r="I24" s="32">
        <v>4</v>
      </c>
      <c r="J24" s="32">
        <v>6</v>
      </c>
      <c r="K24" s="32"/>
      <c r="L24" s="32"/>
      <c r="M24" s="32"/>
      <c r="N24" s="32"/>
      <c r="O24" s="32"/>
      <c r="P24" s="32"/>
      <c r="Q24" s="32"/>
      <c r="R24" s="32">
        <v>3</v>
      </c>
      <c r="S24" s="32">
        <v>3</v>
      </c>
      <c r="T24" s="32"/>
      <c r="U24" s="32"/>
      <c r="V24" s="32"/>
      <c r="W24" s="32"/>
    </row>
    <row r="25" spans="2:23" ht="11.25">
      <c r="B25" s="150"/>
      <c r="C25" s="40">
        <v>197</v>
      </c>
      <c r="D25" s="39" t="s">
        <v>411</v>
      </c>
      <c r="E25" s="32">
        <f>COUNTA(H25:W25)+VLOOKUP(C25,'2005Season'!$AZ$11:$BD$30,5,FALSE)</f>
        <v>6</v>
      </c>
      <c r="F25" s="32">
        <f t="shared" si="0"/>
        <v>0</v>
      </c>
      <c r="G25" s="147">
        <f>C_S_G($H25:W25,$H$9:W$9,csg_table,E$9,F25)</f>
        <v>0.7142857142857143</v>
      </c>
      <c r="H25" s="32">
        <v>7</v>
      </c>
      <c r="I25" s="32"/>
      <c r="J25" s="32"/>
      <c r="K25" s="32"/>
      <c r="L25" s="32"/>
      <c r="M25" s="32"/>
      <c r="N25" s="32"/>
      <c r="O25" s="32"/>
      <c r="P25" s="32"/>
      <c r="Q25" s="32"/>
      <c r="R25" s="32"/>
      <c r="S25" s="32"/>
      <c r="T25" s="32">
        <v>6</v>
      </c>
      <c r="U25" s="32">
        <v>5</v>
      </c>
      <c r="V25" s="32">
        <v>6</v>
      </c>
      <c r="W25" s="32">
        <v>5</v>
      </c>
    </row>
    <row r="26" spans="2:23" ht="11.25">
      <c r="B26" s="150"/>
      <c r="C26" s="40">
        <v>183</v>
      </c>
      <c r="D26" s="39" t="s">
        <v>418</v>
      </c>
      <c r="E26" s="32">
        <f>COUNTA(H26:W26)+VLOOKUP(C26,'2005Season'!$AZ$11:$BD$30,5,FALSE)</f>
        <v>7</v>
      </c>
      <c r="F26" s="32">
        <f t="shared" si="0"/>
        <v>0</v>
      </c>
      <c r="G26" s="147">
        <f>C_S_G($H26:W26,$H$9:W$9,csg_table,E$9,F26)</f>
        <v>0.7166666666666667</v>
      </c>
      <c r="H26" s="32"/>
      <c r="I26" s="32"/>
      <c r="J26" s="32"/>
      <c r="K26" s="32">
        <v>4</v>
      </c>
      <c r="L26" s="32">
        <v>7</v>
      </c>
      <c r="M26" s="32">
        <v>5</v>
      </c>
      <c r="N26" s="32">
        <v>7</v>
      </c>
      <c r="O26" s="32">
        <v>6</v>
      </c>
      <c r="P26" s="32">
        <v>8</v>
      </c>
      <c r="Q26" s="32"/>
      <c r="R26" s="32"/>
      <c r="S26" s="32"/>
      <c r="T26" s="32"/>
      <c r="U26" s="32"/>
      <c r="V26" s="32"/>
      <c r="W26" s="32"/>
    </row>
    <row r="27" spans="2:23" ht="11.25">
      <c r="B27" s="150"/>
      <c r="C27" s="40">
        <v>5</v>
      </c>
      <c r="D27" s="39" t="s">
        <v>408</v>
      </c>
      <c r="E27" s="32">
        <f>COUNTA(H27:W27)+VLOOKUP(C27,'2005Season'!$AZ$11:$BD$30,5,FALSE)</f>
        <v>3</v>
      </c>
      <c r="F27" s="32">
        <f t="shared" si="0"/>
        <v>0</v>
      </c>
      <c r="G27" s="147">
        <f>C_S_G($H27:W27,$H$9:W$9,csg_table,E$9,F27)</f>
        <v>0.6621621621621622</v>
      </c>
      <c r="H27" s="32"/>
      <c r="I27" s="32"/>
      <c r="J27" s="32"/>
      <c r="K27" s="32">
        <v>8</v>
      </c>
      <c r="L27" s="32" t="s">
        <v>299</v>
      </c>
      <c r="M27" s="32"/>
      <c r="N27" s="32"/>
      <c r="O27" s="32"/>
      <c r="P27" s="32"/>
      <c r="Q27" s="32"/>
      <c r="R27" s="32"/>
      <c r="S27" s="32"/>
      <c r="T27" s="32"/>
      <c r="U27" s="32"/>
      <c r="V27" s="32"/>
      <c r="W27" s="32"/>
    </row>
    <row r="28" spans="2:23" ht="11.25">
      <c r="B28" s="150"/>
      <c r="C28" s="40">
        <v>26</v>
      </c>
      <c r="D28" s="39" t="s">
        <v>413</v>
      </c>
      <c r="E28" s="32">
        <f>COUNTA(H28:W28)+VLOOKUP(C28,'2005Season'!$AZ$11:$BD$30,5,FALSE)</f>
        <v>2</v>
      </c>
      <c r="F28" s="32">
        <f t="shared" si="0"/>
        <v>0</v>
      </c>
      <c r="G28" s="147">
        <f>C_S_G($H28:W28,$H$9:W$9,csg_table,E$9,F28)</f>
        <v>0</v>
      </c>
      <c r="H28" s="32"/>
      <c r="I28" s="32"/>
      <c r="J28" s="32"/>
      <c r="K28" s="32"/>
      <c r="L28" s="32"/>
      <c r="M28" s="32"/>
      <c r="N28" s="32"/>
      <c r="O28" s="32"/>
      <c r="P28" s="32"/>
      <c r="Q28" s="32"/>
      <c r="R28" s="32"/>
      <c r="S28" s="32"/>
      <c r="T28" s="32"/>
      <c r="U28" s="32"/>
      <c r="V28" s="32"/>
      <c r="W28" s="32"/>
    </row>
    <row r="29" spans="3:23" ht="11.25">
      <c r="C29" s="50">
        <v>16</v>
      </c>
      <c r="D29" s="60" t="s">
        <v>416</v>
      </c>
      <c r="E29" s="34">
        <f>COUNTA(H29:W29)+VLOOKUP(C29,'2005Season'!$AZ$11:$BD$30,5,FALSE)</f>
        <v>0</v>
      </c>
      <c r="F29" s="34">
        <f t="shared" si="0"/>
        <v>0</v>
      </c>
      <c r="G29" s="148">
        <f>C_S_G($H29:W29,$H$9:W$9,csg_table,E$9,F29)</f>
        <v>0</v>
      </c>
      <c r="H29" s="34"/>
      <c r="I29" s="34"/>
      <c r="J29" s="34"/>
      <c r="K29" s="34"/>
      <c r="L29" s="34"/>
      <c r="M29" s="34"/>
      <c r="N29" s="34"/>
      <c r="O29" s="34"/>
      <c r="P29" s="34"/>
      <c r="Q29" s="34"/>
      <c r="R29" s="34"/>
      <c r="S29" s="34"/>
      <c r="T29" s="34"/>
      <c r="U29" s="34"/>
      <c r="V29" s="34"/>
      <c r="W29" s="34"/>
    </row>
    <row r="31" ht="11.25">
      <c r="D31" s="27" t="s">
        <v>747</v>
      </c>
    </row>
    <row r="32" ht="11.25">
      <c r="D32" s="27" t="s">
        <v>748</v>
      </c>
    </row>
    <row r="37" ht="11.25">
      <c r="L37" s="27" t="s">
        <v>191</v>
      </c>
    </row>
  </sheetData>
  <sheetProtection/>
  <mergeCells count="3">
    <mergeCell ref="K5:Q5"/>
    <mergeCell ref="R5:S5"/>
    <mergeCell ref="I5:J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16"/>
  <dimension ref="A2:N37"/>
  <sheetViews>
    <sheetView zoomScalePageLayoutView="0" workbookViewId="0" topLeftCell="A1">
      <selection activeCell="D32" sqref="D32"/>
    </sheetView>
  </sheetViews>
  <sheetFormatPr defaultColWidth="9.140625" defaultRowHeight="12.75"/>
  <cols>
    <col min="1" max="1" width="4.57421875" style="27" customWidth="1"/>
    <col min="2" max="2" width="4.7109375" style="24" customWidth="1"/>
    <col min="3" max="3" width="28.7109375" style="27" customWidth="1"/>
    <col min="4" max="4" width="5.140625" style="24" bestFit="1" customWidth="1"/>
    <col min="5" max="5" width="7.421875" style="24" customWidth="1"/>
    <col min="6" max="6" width="8.57421875" style="27" bestFit="1" customWidth="1"/>
    <col min="7" max="11" width="6.7109375" style="27" customWidth="1"/>
    <col min="12" max="16384" width="9.140625" style="27" customWidth="1"/>
  </cols>
  <sheetData>
    <row r="2" spans="3:11" ht="15.75">
      <c r="C2" s="71" t="s">
        <v>280</v>
      </c>
      <c r="D2" s="47"/>
      <c r="E2" s="47"/>
      <c r="F2" s="24"/>
      <c r="G2" s="24"/>
      <c r="H2" s="26"/>
      <c r="I2" s="24"/>
      <c r="J2" s="24"/>
      <c r="K2" s="24"/>
    </row>
    <row r="3" spans="3:11" ht="11.25">
      <c r="C3" s="27" t="s">
        <v>699</v>
      </c>
      <c r="D3" s="47"/>
      <c r="E3" s="47"/>
      <c r="F3" s="24"/>
      <c r="G3" s="24"/>
      <c r="H3" s="26"/>
      <c r="I3" s="24"/>
      <c r="J3" s="24"/>
      <c r="K3" s="24"/>
    </row>
    <row r="4" spans="6:11" ht="11.25">
      <c r="F4" s="24"/>
      <c r="G4" s="24"/>
      <c r="H4" s="26"/>
      <c r="I4" s="24"/>
      <c r="J4" s="24"/>
      <c r="K4" s="24"/>
    </row>
    <row r="5" spans="2:14" ht="11.25">
      <c r="B5" s="100"/>
      <c r="C5" s="90"/>
      <c r="D5" s="91">
        <f>COUNT(G5:K5)</f>
        <v>5</v>
      </c>
      <c r="E5" s="91"/>
      <c r="F5" s="92" t="s">
        <v>187</v>
      </c>
      <c r="G5" s="91">
        <v>13</v>
      </c>
      <c r="H5" s="91">
        <v>12</v>
      </c>
      <c r="I5" s="91">
        <v>18</v>
      </c>
      <c r="J5" s="91">
        <v>9</v>
      </c>
      <c r="K5" s="91">
        <v>6</v>
      </c>
      <c r="L5" s="76"/>
      <c r="M5" s="150"/>
      <c r="N5" s="150"/>
    </row>
    <row r="6" spans="2:14" ht="11.25">
      <c r="B6" s="84" t="s">
        <v>451</v>
      </c>
      <c r="C6" s="85" t="s">
        <v>422</v>
      </c>
      <c r="D6" s="85" t="s">
        <v>188</v>
      </c>
      <c r="E6" s="85" t="s">
        <v>189</v>
      </c>
      <c r="F6" s="86" t="s">
        <v>190</v>
      </c>
      <c r="G6" s="87" t="s">
        <v>281</v>
      </c>
      <c r="H6" s="87" t="s">
        <v>282</v>
      </c>
      <c r="I6" s="87" t="s">
        <v>283</v>
      </c>
      <c r="J6" s="87" t="s">
        <v>284</v>
      </c>
      <c r="K6" s="87" t="s">
        <v>285</v>
      </c>
      <c r="L6" s="76"/>
      <c r="M6" s="150"/>
      <c r="N6" s="150"/>
    </row>
    <row r="7" spans="1:14" ht="11.25">
      <c r="A7" s="27">
        <v>1</v>
      </c>
      <c r="B7" s="80">
        <v>23</v>
      </c>
      <c r="C7" s="131" t="s">
        <v>684</v>
      </c>
      <c r="D7" s="81">
        <f aca="true" t="shared" si="0" ref="D7:D25">COUNT(G7:K7)</f>
        <v>4</v>
      </c>
      <c r="E7" s="81">
        <f aca="true" t="shared" si="1" ref="E7:E25">IF(D7&gt;3,1,0)</f>
        <v>1</v>
      </c>
      <c r="F7" s="88">
        <f aca="true" t="shared" si="2" ref="F7:F25">C_S_G(G7:K7,G$5:K$5,csg_table,D$5,E7)</f>
        <v>0.9762845849802372</v>
      </c>
      <c r="G7" s="89">
        <v>2</v>
      </c>
      <c r="H7" s="89">
        <v>1</v>
      </c>
      <c r="I7" s="89">
        <v>4</v>
      </c>
      <c r="J7" s="89">
        <v>1</v>
      </c>
      <c r="K7" s="89"/>
      <c r="L7" s="76"/>
      <c r="M7" s="66"/>
      <c r="N7" s="66"/>
    </row>
    <row r="8" spans="1:14" ht="11.25">
      <c r="A8" s="27">
        <v>2</v>
      </c>
      <c r="B8" s="80">
        <v>25</v>
      </c>
      <c r="C8" s="93" t="s">
        <v>357</v>
      </c>
      <c r="D8" s="81">
        <f t="shared" si="0"/>
        <v>4</v>
      </c>
      <c r="E8" s="81">
        <f t="shared" si="1"/>
        <v>1</v>
      </c>
      <c r="F8" s="88">
        <f t="shared" si="2"/>
        <v>0.9310344827586207</v>
      </c>
      <c r="G8" s="89">
        <v>3</v>
      </c>
      <c r="H8" s="89">
        <v>2</v>
      </c>
      <c r="I8" s="89">
        <v>2</v>
      </c>
      <c r="J8" s="89">
        <v>2</v>
      </c>
      <c r="K8" s="89"/>
      <c r="L8" s="76"/>
      <c r="M8" s="66"/>
      <c r="N8" s="66"/>
    </row>
    <row r="9" spans="1:14" ht="11.25">
      <c r="A9" s="27">
        <v>3</v>
      </c>
      <c r="B9" s="80">
        <v>182</v>
      </c>
      <c r="C9" s="93" t="s">
        <v>359</v>
      </c>
      <c r="D9" s="81">
        <f t="shared" si="0"/>
        <v>5</v>
      </c>
      <c r="E9" s="81">
        <f t="shared" si="1"/>
        <v>1</v>
      </c>
      <c r="F9" s="88">
        <f t="shared" si="2"/>
        <v>0.8255451713395638</v>
      </c>
      <c r="G9" s="89">
        <v>10</v>
      </c>
      <c r="H9" s="89">
        <v>6</v>
      </c>
      <c r="I9" s="89">
        <v>6</v>
      </c>
      <c r="J9" s="89">
        <v>3</v>
      </c>
      <c r="K9" s="89">
        <v>2</v>
      </c>
      <c r="L9" s="76"/>
      <c r="M9" s="66"/>
      <c r="N9" s="66"/>
    </row>
    <row r="10" spans="1:14" ht="11.25">
      <c r="A10" s="27">
        <v>4</v>
      </c>
      <c r="B10" s="80">
        <v>176</v>
      </c>
      <c r="C10" s="93" t="s">
        <v>527</v>
      </c>
      <c r="D10" s="81">
        <f t="shared" si="0"/>
        <v>4</v>
      </c>
      <c r="E10" s="81">
        <f t="shared" si="1"/>
        <v>1</v>
      </c>
      <c r="F10" s="88">
        <f t="shared" si="2"/>
        <v>0.8142292490118577</v>
      </c>
      <c r="G10" s="89">
        <v>6</v>
      </c>
      <c r="H10" s="89">
        <v>3</v>
      </c>
      <c r="I10" s="89">
        <v>8</v>
      </c>
      <c r="J10" s="89">
        <v>5</v>
      </c>
      <c r="K10" s="89"/>
      <c r="L10" s="76"/>
      <c r="M10" s="66"/>
      <c r="N10" s="66"/>
    </row>
    <row r="11" spans="1:14" ht="11.25">
      <c r="A11" s="27">
        <v>5</v>
      </c>
      <c r="B11" s="80">
        <v>106</v>
      </c>
      <c r="C11" s="93" t="s">
        <v>505</v>
      </c>
      <c r="D11" s="81">
        <f t="shared" si="0"/>
        <v>3</v>
      </c>
      <c r="E11" s="81">
        <f t="shared" si="1"/>
        <v>0</v>
      </c>
      <c r="F11" s="88">
        <f t="shared" si="2"/>
        <v>0.7963636363636364</v>
      </c>
      <c r="G11" s="89">
        <v>4</v>
      </c>
      <c r="H11" s="89">
        <v>12</v>
      </c>
      <c r="I11" s="89">
        <v>3</v>
      </c>
      <c r="J11" s="89"/>
      <c r="K11" s="89"/>
      <c r="L11" s="76"/>
      <c r="M11" s="66"/>
      <c r="N11" s="66"/>
    </row>
    <row r="12" spans="1:14" ht="11.25">
      <c r="A12" s="27">
        <v>6</v>
      </c>
      <c r="B12" s="80">
        <v>54</v>
      </c>
      <c r="C12" s="93" t="str">
        <f>VLOOKUP(B12,'2005Season'!$C$11:$D$35,2,FALSE)</f>
        <v>Neil Meyer</v>
      </c>
      <c r="D12" s="81">
        <f t="shared" si="0"/>
        <v>3</v>
      </c>
      <c r="E12" s="81">
        <f t="shared" si="1"/>
        <v>0</v>
      </c>
      <c r="F12" s="88">
        <f t="shared" si="2"/>
        <v>0.7863247863247863</v>
      </c>
      <c r="G12" s="89"/>
      <c r="H12" s="89"/>
      <c r="I12" s="89">
        <v>9</v>
      </c>
      <c r="J12" s="89">
        <v>4</v>
      </c>
      <c r="K12" s="89">
        <v>3</v>
      </c>
      <c r="L12" s="76"/>
      <c r="M12" s="66"/>
      <c r="N12" s="66"/>
    </row>
    <row r="13" spans="1:14" ht="11.25">
      <c r="A13" s="27">
        <v>7</v>
      </c>
      <c r="B13" s="80">
        <v>142</v>
      </c>
      <c r="C13" s="93" t="s">
        <v>410</v>
      </c>
      <c r="D13" s="81">
        <f t="shared" si="0"/>
        <v>4</v>
      </c>
      <c r="E13" s="81">
        <f t="shared" si="1"/>
        <v>1</v>
      </c>
      <c r="F13" s="88">
        <f t="shared" si="2"/>
        <v>0.7707509881422925</v>
      </c>
      <c r="G13" s="89">
        <v>7</v>
      </c>
      <c r="H13" s="89">
        <v>7</v>
      </c>
      <c r="I13" s="89">
        <v>12</v>
      </c>
      <c r="J13" s="89">
        <v>4</v>
      </c>
      <c r="K13" s="89"/>
      <c r="L13" s="76"/>
      <c r="M13" s="66"/>
      <c r="N13" s="66"/>
    </row>
    <row r="14" spans="1:14" ht="11.25">
      <c r="A14" s="27">
        <v>8</v>
      </c>
      <c r="B14" s="80">
        <v>70</v>
      </c>
      <c r="C14" s="93" t="s">
        <v>409</v>
      </c>
      <c r="D14" s="81">
        <f t="shared" si="0"/>
        <v>3</v>
      </c>
      <c r="E14" s="81">
        <f t="shared" si="1"/>
        <v>0</v>
      </c>
      <c r="F14" s="88">
        <f t="shared" si="2"/>
        <v>0.76</v>
      </c>
      <c r="G14" s="89">
        <v>8</v>
      </c>
      <c r="H14" s="89">
        <v>4</v>
      </c>
      <c r="I14" s="89">
        <v>10</v>
      </c>
      <c r="J14" s="89"/>
      <c r="K14" s="89"/>
      <c r="L14" s="76"/>
      <c r="M14" s="66"/>
      <c r="N14" s="66"/>
    </row>
    <row r="15" spans="1:14" ht="11.25">
      <c r="A15" s="27">
        <v>9</v>
      </c>
      <c r="B15" s="80">
        <v>183</v>
      </c>
      <c r="C15" s="93" t="s">
        <v>418</v>
      </c>
      <c r="D15" s="81">
        <f t="shared" si="0"/>
        <v>3</v>
      </c>
      <c r="E15" s="81">
        <f t="shared" si="1"/>
        <v>0</v>
      </c>
      <c r="F15" s="88">
        <f t="shared" si="2"/>
        <v>0.7386363636363636</v>
      </c>
      <c r="G15" s="89">
        <v>5</v>
      </c>
      <c r="H15" s="89"/>
      <c r="I15" s="89">
        <v>11</v>
      </c>
      <c r="J15" s="89">
        <v>7</v>
      </c>
      <c r="K15" s="89"/>
      <c r="L15" s="76"/>
      <c r="M15" s="66"/>
      <c r="N15" s="66"/>
    </row>
    <row r="16" spans="1:14" ht="11.25">
      <c r="A16" s="27">
        <v>10</v>
      </c>
      <c r="B16" s="80">
        <v>117</v>
      </c>
      <c r="C16" s="93" t="s">
        <v>405</v>
      </c>
      <c r="D16" s="81">
        <f t="shared" si="0"/>
        <v>4</v>
      </c>
      <c r="E16" s="81">
        <f t="shared" si="1"/>
        <v>1</v>
      </c>
      <c r="F16" s="88">
        <f t="shared" si="2"/>
        <v>0.7272727272727273</v>
      </c>
      <c r="G16" s="89">
        <v>12</v>
      </c>
      <c r="H16" s="89">
        <v>5</v>
      </c>
      <c r="I16" s="89">
        <v>16</v>
      </c>
      <c r="J16" s="89">
        <v>6</v>
      </c>
      <c r="K16" s="89"/>
      <c r="L16" s="76"/>
      <c r="M16" s="150"/>
      <c r="N16" s="150"/>
    </row>
    <row r="17" spans="1:14" ht="11.25">
      <c r="A17" s="27">
        <v>11</v>
      </c>
      <c r="B17" s="80">
        <v>197</v>
      </c>
      <c r="C17" s="93" t="s">
        <v>411</v>
      </c>
      <c r="D17" s="81">
        <f t="shared" si="0"/>
        <v>4</v>
      </c>
      <c r="E17" s="81">
        <f t="shared" si="1"/>
        <v>1</v>
      </c>
      <c r="F17" s="88">
        <f t="shared" si="2"/>
        <v>0.7172995780590717</v>
      </c>
      <c r="G17" s="89">
        <v>9</v>
      </c>
      <c r="H17" s="89">
        <v>8</v>
      </c>
      <c r="I17" s="89">
        <v>13</v>
      </c>
      <c r="J17" s="89"/>
      <c r="K17" s="89">
        <v>5</v>
      </c>
      <c r="L17" s="76"/>
      <c r="M17" s="150"/>
      <c r="N17" s="150"/>
    </row>
    <row r="18" spans="1:14" ht="11.25">
      <c r="A18" s="27">
        <v>12</v>
      </c>
      <c r="B18" s="80">
        <v>41</v>
      </c>
      <c r="C18" s="93" t="str">
        <f>VLOOKUP(B18,'2005Season'!$C$11:$D$35,2,FALSE)</f>
        <v>Tim Sawyer</v>
      </c>
      <c r="D18" s="81">
        <f t="shared" si="0"/>
        <v>3</v>
      </c>
      <c r="E18" s="81">
        <f t="shared" si="1"/>
        <v>0</v>
      </c>
      <c r="F18" s="88">
        <f t="shared" si="2"/>
        <v>0.6938775510204082</v>
      </c>
      <c r="G18" s="89"/>
      <c r="H18" s="89">
        <v>9</v>
      </c>
      <c r="I18" s="89">
        <v>14</v>
      </c>
      <c r="J18" s="89"/>
      <c r="K18" s="89">
        <v>4</v>
      </c>
      <c r="L18" s="76"/>
      <c r="M18" s="150"/>
      <c r="N18" s="150"/>
    </row>
    <row r="19" spans="1:14" ht="11.25">
      <c r="A19" s="27">
        <v>13</v>
      </c>
      <c r="B19" s="80">
        <v>38</v>
      </c>
      <c r="C19" s="93" t="str">
        <f>VLOOKUP(B19,'2005Season'!$C$11:$D$35,2,FALSE)</f>
        <v>Jean Pierre Jabart/Alain Concher</v>
      </c>
      <c r="D19" s="81">
        <f t="shared" si="0"/>
        <v>4</v>
      </c>
      <c r="E19" s="81">
        <f t="shared" si="1"/>
        <v>1</v>
      </c>
      <c r="F19" s="88">
        <f t="shared" si="2"/>
        <v>0.6681614349775785</v>
      </c>
      <c r="G19" s="89"/>
      <c r="H19" s="89">
        <v>11</v>
      </c>
      <c r="I19" s="89">
        <v>17</v>
      </c>
      <c r="J19" s="89">
        <v>8</v>
      </c>
      <c r="K19" s="89">
        <v>6</v>
      </c>
      <c r="L19" s="76"/>
      <c r="M19" s="150"/>
      <c r="N19" s="150"/>
    </row>
    <row r="20" spans="1:12" ht="11.25">
      <c r="A20" s="27">
        <v>14</v>
      </c>
      <c r="B20" s="82">
        <v>5</v>
      </c>
      <c r="C20" s="94" t="s">
        <v>408</v>
      </c>
      <c r="D20" s="83">
        <f t="shared" si="0"/>
        <v>3</v>
      </c>
      <c r="E20" s="83">
        <f t="shared" si="1"/>
        <v>0</v>
      </c>
      <c r="F20" s="95">
        <f t="shared" si="2"/>
        <v>0.6521739130434783</v>
      </c>
      <c r="G20" s="96">
        <v>13</v>
      </c>
      <c r="H20" s="96">
        <v>10</v>
      </c>
      <c r="I20" s="96"/>
      <c r="J20" s="96">
        <v>9</v>
      </c>
      <c r="K20" s="96"/>
      <c r="L20" s="76"/>
    </row>
    <row r="21" spans="2:12" ht="11.25">
      <c r="B21" s="80">
        <v>231</v>
      </c>
      <c r="C21" s="93" t="s">
        <v>419</v>
      </c>
      <c r="D21" s="81">
        <f t="shared" si="0"/>
        <v>2</v>
      </c>
      <c r="E21" s="81">
        <f t="shared" si="1"/>
        <v>0</v>
      </c>
      <c r="F21" s="88">
        <f t="shared" si="2"/>
        <v>0.9367088607594937</v>
      </c>
      <c r="G21" s="89"/>
      <c r="H21" s="89"/>
      <c r="I21" s="89">
        <v>1</v>
      </c>
      <c r="J21" s="89"/>
      <c r="K21" s="89">
        <v>3</v>
      </c>
      <c r="L21" s="76"/>
    </row>
    <row r="22" spans="2:12" ht="11.25">
      <c r="B22" s="80">
        <v>49</v>
      </c>
      <c r="C22" s="93" t="s">
        <v>526</v>
      </c>
      <c r="D22" s="81">
        <f t="shared" si="0"/>
        <v>2</v>
      </c>
      <c r="E22" s="81">
        <f t="shared" si="1"/>
        <v>0</v>
      </c>
      <c r="F22" s="88">
        <f t="shared" si="2"/>
        <v>0.8617021276595744</v>
      </c>
      <c r="G22" s="89">
        <v>1</v>
      </c>
      <c r="H22" s="89"/>
      <c r="I22" s="89">
        <v>9</v>
      </c>
      <c r="J22" s="89"/>
      <c r="K22" s="89"/>
      <c r="L22" s="76"/>
    </row>
    <row r="23" spans="2:12" ht="11.25">
      <c r="B23" s="80">
        <v>221</v>
      </c>
      <c r="C23" s="93" t="s">
        <v>407</v>
      </c>
      <c r="D23" s="81">
        <f t="shared" si="0"/>
        <v>2</v>
      </c>
      <c r="E23" s="81">
        <f t="shared" si="1"/>
        <v>0</v>
      </c>
      <c r="F23" s="88">
        <f t="shared" si="2"/>
        <v>0.75</v>
      </c>
      <c r="G23" s="89">
        <v>11</v>
      </c>
      <c r="H23" s="89"/>
      <c r="I23" s="89">
        <v>5</v>
      </c>
      <c r="J23" s="89"/>
      <c r="K23" s="89"/>
      <c r="L23" s="76"/>
    </row>
    <row r="24" spans="2:12" ht="11.25">
      <c r="B24" s="80">
        <v>26</v>
      </c>
      <c r="C24" s="93" t="s">
        <v>413</v>
      </c>
      <c r="D24" s="81">
        <f t="shared" si="0"/>
        <v>1</v>
      </c>
      <c r="E24" s="81">
        <f t="shared" si="1"/>
        <v>0</v>
      </c>
      <c r="F24" s="88">
        <f t="shared" si="2"/>
        <v>0.7755102040816326</v>
      </c>
      <c r="G24" s="89"/>
      <c r="H24" s="89"/>
      <c r="I24" s="89">
        <v>7</v>
      </c>
      <c r="J24" s="89"/>
      <c r="K24" s="89"/>
      <c r="L24" s="76"/>
    </row>
    <row r="25" spans="2:12" ht="11.25">
      <c r="B25" s="82">
        <v>16</v>
      </c>
      <c r="C25" s="94" t="s">
        <v>416</v>
      </c>
      <c r="D25" s="83">
        <f t="shared" si="0"/>
        <v>1</v>
      </c>
      <c r="E25" s="83">
        <f t="shared" si="1"/>
        <v>0</v>
      </c>
      <c r="F25" s="95">
        <f t="shared" si="2"/>
        <v>0.6020408163265306</v>
      </c>
      <c r="G25" s="96"/>
      <c r="H25" s="96"/>
      <c r="I25" s="96">
        <v>18</v>
      </c>
      <c r="J25" s="96"/>
      <c r="K25" s="96"/>
      <c r="L25" s="76"/>
    </row>
    <row r="26" spans="3:11" ht="11.25">
      <c r="C26" s="23"/>
      <c r="D26" s="66"/>
      <c r="E26" s="66"/>
      <c r="F26" s="68"/>
      <c r="G26" s="69"/>
      <c r="H26" s="69"/>
      <c r="I26" s="69"/>
      <c r="J26" s="69"/>
      <c r="K26" s="69"/>
    </row>
    <row r="27" ht="11.25">
      <c r="C27" s="27" t="s">
        <v>297</v>
      </c>
    </row>
    <row r="29" spans="2:3" ht="11.25">
      <c r="B29" s="24" t="s">
        <v>281</v>
      </c>
      <c r="C29" s="23" t="s">
        <v>286</v>
      </c>
    </row>
    <row r="30" spans="2:3" ht="11.25">
      <c r="B30" s="24" t="s">
        <v>282</v>
      </c>
      <c r="C30" s="23" t="s">
        <v>287</v>
      </c>
    </row>
    <row r="31" spans="2:3" ht="11.25">
      <c r="B31" s="24" t="s">
        <v>283</v>
      </c>
      <c r="C31" s="23" t="s">
        <v>288</v>
      </c>
    </row>
    <row r="32" spans="2:3" ht="11.25">
      <c r="B32" s="24" t="s">
        <v>284</v>
      </c>
      <c r="C32" s="23" t="s">
        <v>528</v>
      </c>
    </row>
    <row r="33" spans="2:3" ht="11.25">
      <c r="B33" s="24" t="s">
        <v>285</v>
      </c>
      <c r="C33" s="23" t="s">
        <v>289</v>
      </c>
    </row>
    <row r="35" ht="11.25">
      <c r="C35" s="27" t="s">
        <v>298</v>
      </c>
    </row>
    <row r="36" spans="3:8" ht="11.25">
      <c r="C36" s="27" t="s">
        <v>307</v>
      </c>
      <c r="H36" s="27" t="s">
        <v>191</v>
      </c>
    </row>
    <row r="37" ht="11.25">
      <c r="C37" s="27" t="s">
        <v>296</v>
      </c>
    </row>
  </sheetData>
  <sheetProtection/>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codeName="Sheet5">
    <pageSetUpPr fitToPage="1"/>
  </sheetPr>
  <dimension ref="B2:N35"/>
  <sheetViews>
    <sheetView zoomScalePageLayoutView="0" workbookViewId="0" topLeftCell="A2">
      <selection activeCell="D32" sqref="D32"/>
    </sheetView>
  </sheetViews>
  <sheetFormatPr defaultColWidth="9.140625" defaultRowHeight="12.75"/>
  <cols>
    <col min="1" max="1" width="3.28125" style="3" customWidth="1"/>
    <col min="2" max="2" width="5.421875" style="3" customWidth="1"/>
    <col min="3" max="3" width="6.00390625" style="3" customWidth="1"/>
    <col min="4" max="4" width="24.8515625" style="3" bestFit="1" customWidth="1"/>
    <col min="5" max="5" width="12.57421875" style="3" customWidth="1"/>
    <col min="6" max="12" width="7.421875" style="11" customWidth="1"/>
    <col min="13" max="14" width="9.140625" style="220" customWidth="1"/>
    <col min="15" max="16384" width="9.140625" style="3" customWidth="1"/>
  </cols>
  <sheetData>
    <row r="2" spans="2:5" ht="18">
      <c r="B2" s="159" t="s">
        <v>611</v>
      </c>
      <c r="C2" s="159"/>
      <c r="E2" s="159"/>
    </row>
    <row r="3" spans="2:14" s="27" customFormat="1" ht="12.75">
      <c r="B3" s="192" t="s">
        <v>452</v>
      </c>
      <c r="F3" s="24"/>
      <c r="G3" s="24"/>
      <c r="H3" s="24"/>
      <c r="I3" s="24"/>
      <c r="J3" s="24"/>
      <c r="K3" s="24"/>
      <c r="L3" s="24"/>
      <c r="M3" s="150"/>
      <c r="N3" s="150"/>
    </row>
    <row r="4" spans="2:14" s="27" customFormat="1" ht="11.25">
      <c r="B4" s="27" t="s">
        <v>612</v>
      </c>
      <c r="F4" s="24"/>
      <c r="G4" s="24"/>
      <c r="H4" s="24"/>
      <c r="I4" s="24"/>
      <c r="J4" s="24"/>
      <c r="K4" s="24"/>
      <c r="L4" s="24"/>
      <c r="M4" s="150"/>
      <c r="N4" s="150"/>
    </row>
    <row r="5" spans="2:14" s="27" customFormat="1" ht="11.25">
      <c r="B5" s="27" t="s">
        <v>350</v>
      </c>
      <c r="F5" s="24"/>
      <c r="G5" s="24"/>
      <c r="H5" s="24"/>
      <c r="I5" s="24"/>
      <c r="J5" s="24"/>
      <c r="K5" s="24"/>
      <c r="L5" s="24"/>
      <c r="M5" s="150"/>
      <c r="N5" s="150"/>
    </row>
    <row r="6" spans="6:14" s="27" customFormat="1" ht="11.25">
      <c r="F6" s="24"/>
      <c r="G6" s="24"/>
      <c r="H6" s="24"/>
      <c r="I6" s="24"/>
      <c r="J6" s="24"/>
      <c r="K6" s="24"/>
      <c r="L6" s="24"/>
      <c r="M6" s="150"/>
      <c r="N6" s="150"/>
    </row>
    <row r="7" spans="2:14" s="27" customFormat="1" ht="11.25">
      <c r="B7" s="41"/>
      <c r="C7" s="41" t="s">
        <v>451</v>
      </c>
      <c r="D7" s="41" t="s">
        <v>551</v>
      </c>
      <c r="E7" s="41" t="s">
        <v>608</v>
      </c>
      <c r="F7" s="41" t="s">
        <v>552</v>
      </c>
      <c r="G7" s="41" t="s">
        <v>553</v>
      </c>
      <c r="H7" s="41" t="s">
        <v>569</v>
      </c>
      <c r="I7" s="41" t="s">
        <v>570</v>
      </c>
      <c r="J7" s="41" t="s">
        <v>613</v>
      </c>
      <c r="K7" s="41" t="s">
        <v>294</v>
      </c>
      <c r="L7" s="41" t="s">
        <v>434</v>
      </c>
      <c r="M7" s="150"/>
      <c r="N7" s="150"/>
    </row>
    <row r="8" spans="2:14" s="27" customFormat="1" ht="11.25">
      <c r="B8" s="40">
        <v>1</v>
      </c>
      <c r="C8" s="40">
        <v>220</v>
      </c>
      <c r="D8" s="39" t="s">
        <v>592</v>
      </c>
      <c r="E8" s="39" t="s">
        <v>593</v>
      </c>
      <c r="F8" s="40">
        <v>2</v>
      </c>
      <c r="G8" s="40">
        <v>1</v>
      </c>
      <c r="H8" s="40">
        <v>2</v>
      </c>
      <c r="I8" s="40">
        <v>1</v>
      </c>
      <c r="J8" s="40">
        <v>12</v>
      </c>
      <c r="K8" s="40">
        <f aca="true" t="shared" si="0" ref="K8:K28">SUM(F8:J8)</f>
        <v>18</v>
      </c>
      <c r="L8" s="40">
        <f aca="true" t="shared" si="1" ref="L8:L28">K8-MAX(F8:J8)</f>
        <v>6</v>
      </c>
      <c r="M8" s="221">
        <v>1</v>
      </c>
      <c r="N8" s="150"/>
    </row>
    <row r="9" spans="2:14" s="27" customFormat="1" ht="11.25">
      <c r="B9" s="40">
        <v>2</v>
      </c>
      <c r="C9" s="40">
        <v>239</v>
      </c>
      <c r="D9" s="39" t="s">
        <v>599</v>
      </c>
      <c r="E9" s="39" t="s">
        <v>593</v>
      </c>
      <c r="F9" s="40">
        <v>10</v>
      </c>
      <c r="G9" s="40">
        <v>4</v>
      </c>
      <c r="H9" s="40">
        <v>1</v>
      </c>
      <c r="I9" s="40">
        <v>2</v>
      </c>
      <c r="J9" s="40">
        <v>9</v>
      </c>
      <c r="K9" s="40">
        <f t="shared" si="0"/>
        <v>26</v>
      </c>
      <c r="L9" s="40">
        <f t="shared" si="1"/>
        <v>16</v>
      </c>
      <c r="M9" s="221">
        <v>2</v>
      </c>
      <c r="N9" s="150"/>
    </row>
    <row r="10" spans="2:14" s="27" customFormat="1" ht="11.25">
      <c r="B10" s="40">
        <v>3</v>
      </c>
      <c r="C10" s="40">
        <v>23</v>
      </c>
      <c r="D10" s="39" t="s">
        <v>648</v>
      </c>
      <c r="E10" s="39" t="s">
        <v>594</v>
      </c>
      <c r="F10" s="40">
        <v>7</v>
      </c>
      <c r="G10" s="40">
        <v>3</v>
      </c>
      <c r="H10" s="40">
        <v>11</v>
      </c>
      <c r="I10" s="40">
        <v>3</v>
      </c>
      <c r="J10" s="40">
        <v>3</v>
      </c>
      <c r="K10" s="40">
        <f t="shared" si="0"/>
        <v>27</v>
      </c>
      <c r="L10" s="40">
        <f t="shared" si="1"/>
        <v>16</v>
      </c>
      <c r="M10" s="221">
        <v>3</v>
      </c>
      <c r="N10" s="150"/>
    </row>
    <row r="11" spans="2:14" s="27" customFormat="1" ht="11.25">
      <c r="B11" s="40">
        <v>4</v>
      </c>
      <c r="C11" s="40">
        <v>160</v>
      </c>
      <c r="D11" s="39" t="s">
        <v>601</v>
      </c>
      <c r="E11" s="39" t="s">
        <v>602</v>
      </c>
      <c r="F11" s="40">
        <v>13</v>
      </c>
      <c r="G11" s="40">
        <v>2</v>
      </c>
      <c r="H11" s="40">
        <v>4</v>
      </c>
      <c r="I11" s="40">
        <v>7</v>
      </c>
      <c r="J11" s="40">
        <v>7</v>
      </c>
      <c r="K11" s="40">
        <f t="shared" si="0"/>
        <v>33</v>
      </c>
      <c r="L11" s="40">
        <f t="shared" si="1"/>
        <v>20</v>
      </c>
      <c r="M11" s="221">
        <v>4</v>
      </c>
      <c r="N11" s="150"/>
    </row>
    <row r="12" spans="2:14" s="27" customFormat="1" ht="11.25">
      <c r="B12" s="40">
        <v>5</v>
      </c>
      <c r="C12" s="40">
        <v>107</v>
      </c>
      <c r="D12" s="39" t="s">
        <v>650</v>
      </c>
      <c r="E12" s="39" t="s">
        <v>602</v>
      </c>
      <c r="F12" s="40">
        <v>6</v>
      </c>
      <c r="G12" s="40">
        <v>10</v>
      </c>
      <c r="H12" s="40">
        <v>9</v>
      </c>
      <c r="I12" s="40">
        <v>6</v>
      </c>
      <c r="J12" s="40">
        <v>5</v>
      </c>
      <c r="K12" s="40">
        <f t="shared" si="0"/>
        <v>36</v>
      </c>
      <c r="L12" s="40">
        <f t="shared" si="1"/>
        <v>26</v>
      </c>
      <c r="M12" s="221">
        <v>5</v>
      </c>
      <c r="N12" s="150"/>
    </row>
    <row r="13" spans="2:14" s="27" customFormat="1" ht="11.25">
      <c r="B13" s="40">
        <v>6</v>
      </c>
      <c r="C13" s="40">
        <v>245</v>
      </c>
      <c r="D13" s="39" t="s">
        <v>651</v>
      </c>
      <c r="E13" s="39" t="s">
        <v>591</v>
      </c>
      <c r="F13" s="40">
        <v>1</v>
      </c>
      <c r="G13" s="40">
        <v>6</v>
      </c>
      <c r="H13" s="40">
        <v>18</v>
      </c>
      <c r="I13" s="40">
        <v>20</v>
      </c>
      <c r="J13" s="40">
        <v>2</v>
      </c>
      <c r="K13" s="40">
        <f t="shared" si="0"/>
        <v>47</v>
      </c>
      <c r="L13" s="40">
        <f t="shared" si="1"/>
        <v>27</v>
      </c>
      <c r="M13" s="221">
        <v>6</v>
      </c>
      <c r="N13" s="150"/>
    </row>
    <row r="14" spans="2:14" s="27" customFormat="1" ht="11.25">
      <c r="B14" s="40">
        <v>7</v>
      </c>
      <c r="C14" s="40">
        <v>11</v>
      </c>
      <c r="D14" s="39" t="s">
        <v>597</v>
      </c>
      <c r="E14" s="39" t="s">
        <v>598</v>
      </c>
      <c r="F14" s="40">
        <v>9</v>
      </c>
      <c r="G14" s="40">
        <v>9</v>
      </c>
      <c r="H14" s="40">
        <v>3</v>
      </c>
      <c r="I14" s="40">
        <v>8</v>
      </c>
      <c r="J14" s="40">
        <v>14</v>
      </c>
      <c r="K14" s="40">
        <f t="shared" si="0"/>
        <v>43</v>
      </c>
      <c r="L14" s="40">
        <f t="shared" si="1"/>
        <v>29</v>
      </c>
      <c r="M14" s="221">
        <v>7</v>
      </c>
      <c r="N14" s="150"/>
    </row>
    <row r="15" spans="2:14" s="27" customFormat="1" ht="11.25">
      <c r="B15" s="40">
        <v>8</v>
      </c>
      <c r="C15" s="40">
        <v>106</v>
      </c>
      <c r="D15" s="39" t="s">
        <v>652</v>
      </c>
      <c r="E15" s="39" t="s">
        <v>594</v>
      </c>
      <c r="F15" s="40">
        <v>4</v>
      </c>
      <c r="G15" s="40">
        <v>12</v>
      </c>
      <c r="H15" s="40">
        <v>14</v>
      </c>
      <c r="I15" s="40">
        <v>19</v>
      </c>
      <c r="J15" s="40">
        <v>1</v>
      </c>
      <c r="K15" s="40">
        <f t="shared" si="0"/>
        <v>50</v>
      </c>
      <c r="L15" s="40">
        <f t="shared" si="1"/>
        <v>31</v>
      </c>
      <c r="M15" s="221">
        <v>8</v>
      </c>
      <c r="N15" s="150"/>
    </row>
    <row r="16" spans="2:14" s="27" customFormat="1" ht="11.25">
      <c r="B16" s="40">
        <v>9</v>
      </c>
      <c r="C16" s="40">
        <v>231</v>
      </c>
      <c r="D16" s="39" t="s">
        <v>653</v>
      </c>
      <c r="E16" s="39" t="s">
        <v>594</v>
      </c>
      <c r="F16" s="40">
        <v>11</v>
      </c>
      <c r="G16" s="40">
        <v>8</v>
      </c>
      <c r="H16" s="40">
        <v>8</v>
      </c>
      <c r="I16" s="40">
        <v>4</v>
      </c>
      <c r="J16" s="40">
        <v>13</v>
      </c>
      <c r="K16" s="40">
        <f t="shared" si="0"/>
        <v>44</v>
      </c>
      <c r="L16" s="40">
        <f t="shared" si="1"/>
        <v>31</v>
      </c>
      <c r="M16" s="221">
        <v>9</v>
      </c>
      <c r="N16" s="150"/>
    </row>
    <row r="17" spans="2:14" s="27" customFormat="1" ht="11.25">
      <c r="B17" s="40">
        <v>10</v>
      </c>
      <c r="C17" s="40">
        <v>232</v>
      </c>
      <c r="D17" s="39" t="s">
        <v>595</v>
      </c>
      <c r="E17" s="39" t="s">
        <v>596</v>
      </c>
      <c r="F17" s="40">
        <v>5</v>
      </c>
      <c r="G17" s="40">
        <v>17</v>
      </c>
      <c r="H17" s="40">
        <v>7</v>
      </c>
      <c r="I17" s="40">
        <v>11</v>
      </c>
      <c r="J17" s="40">
        <v>8</v>
      </c>
      <c r="K17" s="40">
        <f t="shared" si="0"/>
        <v>48</v>
      </c>
      <c r="L17" s="40">
        <f t="shared" si="1"/>
        <v>31</v>
      </c>
      <c r="M17" s="221">
        <v>10</v>
      </c>
      <c r="N17" s="150"/>
    </row>
    <row r="18" spans="2:14" s="27" customFormat="1" ht="11.25">
      <c r="B18" s="40">
        <v>11</v>
      </c>
      <c r="C18" s="40">
        <v>182</v>
      </c>
      <c r="D18" s="39" t="s">
        <v>510</v>
      </c>
      <c r="E18" s="39" t="s">
        <v>594</v>
      </c>
      <c r="F18" s="40">
        <v>3</v>
      </c>
      <c r="G18" s="40">
        <v>11</v>
      </c>
      <c r="H18" s="40">
        <v>16</v>
      </c>
      <c r="I18" s="40">
        <v>10</v>
      </c>
      <c r="J18" s="40">
        <v>11</v>
      </c>
      <c r="K18" s="40">
        <f t="shared" si="0"/>
        <v>51</v>
      </c>
      <c r="L18" s="40">
        <f t="shared" si="1"/>
        <v>35</v>
      </c>
      <c r="M18" s="221">
        <v>11</v>
      </c>
      <c r="N18" s="150"/>
    </row>
    <row r="19" spans="2:14" s="27" customFormat="1" ht="11.25">
      <c r="B19" s="40">
        <v>12</v>
      </c>
      <c r="C19" s="40">
        <v>77</v>
      </c>
      <c r="D19" s="39" t="s">
        <v>606</v>
      </c>
      <c r="E19" s="39"/>
      <c r="F19" s="40">
        <v>20</v>
      </c>
      <c r="G19" s="40">
        <v>5</v>
      </c>
      <c r="H19" s="40">
        <v>15</v>
      </c>
      <c r="I19" s="40">
        <v>5</v>
      </c>
      <c r="J19" s="40">
        <v>10</v>
      </c>
      <c r="K19" s="40">
        <f t="shared" si="0"/>
        <v>55</v>
      </c>
      <c r="L19" s="40">
        <f t="shared" si="1"/>
        <v>35</v>
      </c>
      <c r="M19" s="221">
        <v>12</v>
      </c>
      <c r="N19" s="150"/>
    </row>
    <row r="20" spans="2:14" s="27" customFormat="1" ht="11.25">
      <c r="B20" s="40">
        <v>13</v>
      </c>
      <c r="C20" s="40">
        <v>25</v>
      </c>
      <c r="D20" s="39" t="s">
        <v>600</v>
      </c>
      <c r="E20" s="39" t="s">
        <v>594</v>
      </c>
      <c r="F20" s="40">
        <v>12</v>
      </c>
      <c r="G20" s="40">
        <v>13</v>
      </c>
      <c r="H20" s="40">
        <v>13</v>
      </c>
      <c r="I20" s="40">
        <v>17</v>
      </c>
      <c r="J20" s="40">
        <v>4</v>
      </c>
      <c r="K20" s="40">
        <f t="shared" si="0"/>
        <v>59</v>
      </c>
      <c r="L20" s="40">
        <f t="shared" si="1"/>
        <v>42</v>
      </c>
      <c r="M20" s="221">
        <v>13</v>
      </c>
      <c r="N20" s="150"/>
    </row>
    <row r="21" spans="2:14" s="27" customFormat="1" ht="11.25">
      <c r="B21" s="40">
        <v>14</v>
      </c>
      <c r="C21" s="40">
        <v>143</v>
      </c>
      <c r="D21" s="39" t="s">
        <v>654</v>
      </c>
      <c r="E21" s="39" t="s">
        <v>602</v>
      </c>
      <c r="F21" s="40">
        <v>21</v>
      </c>
      <c r="G21" s="40">
        <v>15</v>
      </c>
      <c r="H21" s="40">
        <v>12</v>
      </c>
      <c r="I21" s="40">
        <v>13</v>
      </c>
      <c r="J21" s="40">
        <v>6</v>
      </c>
      <c r="K21" s="40">
        <f t="shared" si="0"/>
        <v>67</v>
      </c>
      <c r="L21" s="40">
        <f t="shared" si="1"/>
        <v>46</v>
      </c>
      <c r="M21" s="221">
        <v>14</v>
      </c>
      <c r="N21" s="150"/>
    </row>
    <row r="22" spans="2:14" s="27" customFormat="1" ht="11.25">
      <c r="B22" s="40">
        <v>15</v>
      </c>
      <c r="C22" s="40">
        <v>150</v>
      </c>
      <c r="D22" s="39" t="s">
        <v>604</v>
      </c>
      <c r="E22" s="39" t="s">
        <v>605</v>
      </c>
      <c r="F22" s="40">
        <v>19</v>
      </c>
      <c r="G22" s="40">
        <v>14</v>
      </c>
      <c r="H22" s="40">
        <v>6</v>
      </c>
      <c r="I22" s="40">
        <v>12</v>
      </c>
      <c r="J22" s="40">
        <v>20</v>
      </c>
      <c r="K22" s="40">
        <f t="shared" si="0"/>
        <v>71</v>
      </c>
      <c r="L22" s="40">
        <f t="shared" si="1"/>
        <v>51</v>
      </c>
      <c r="M22" s="221">
        <v>15</v>
      </c>
      <c r="N22" s="150"/>
    </row>
    <row r="23" spans="2:14" s="27" customFormat="1" ht="11.25">
      <c r="B23" s="40">
        <v>16</v>
      </c>
      <c r="C23" s="40">
        <v>221</v>
      </c>
      <c r="D23" s="39" t="s">
        <v>533</v>
      </c>
      <c r="E23" s="39" t="s">
        <v>594</v>
      </c>
      <c r="F23" s="40">
        <v>8</v>
      </c>
      <c r="G23" s="40">
        <v>19</v>
      </c>
      <c r="H23" s="40">
        <v>10</v>
      </c>
      <c r="I23" s="40">
        <v>15</v>
      </c>
      <c r="J23" s="40">
        <v>21</v>
      </c>
      <c r="K23" s="40">
        <f t="shared" si="0"/>
        <v>73</v>
      </c>
      <c r="L23" s="40">
        <f t="shared" si="1"/>
        <v>52</v>
      </c>
      <c r="M23" s="221">
        <v>16</v>
      </c>
      <c r="N23" s="150"/>
    </row>
    <row r="24" spans="2:14" s="27" customFormat="1" ht="11.25">
      <c r="B24" s="40">
        <v>17</v>
      </c>
      <c r="C24" s="40">
        <v>238</v>
      </c>
      <c r="D24" s="39" t="s">
        <v>607</v>
      </c>
      <c r="E24" s="39" t="s">
        <v>593</v>
      </c>
      <c r="F24" s="40">
        <v>23</v>
      </c>
      <c r="G24" s="40">
        <v>18</v>
      </c>
      <c r="H24" s="40">
        <v>5</v>
      </c>
      <c r="I24" s="40">
        <v>9</v>
      </c>
      <c r="J24" s="40">
        <v>22</v>
      </c>
      <c r="K24" s="40">
        <f t="shared" si="0"/>
        <v>77</v>
      </c>
      <c r="L24" s="40">
        <f t="shared" si="1"/>
        <v>54</v>
      </c>
      <c r="M24" s="221">
        <v>17</v>
      </c>
      <c r="N24" s="150"/>
    </row>
    <row r="25" spans="2:14" s="27" customFormat="1" ht="11.25">
      <c r="B25" s="40">
        <v>18</v>
      </c>
      <c r="C25" s="40">
        <v>183</v>
      </c>
      <c r="D25" s="39" t="s">
        <v>655</v>
      </c>
      <c r="E25" s="39" t="s">
        <v>594</v>
      </c>
      <c r="F25" s="40">
        <v>17</v>
      </c>
      <c r="G25" s="40">
        <v>7</v>
      </c>
      <c r="H25" s="40">
        <v>17</v>
      </c>
      <c r="I25" s="40">
        <v>14</v>
      </c>
      <c r="J25" s="40">
        <v>23</v>
      </c>
      <c r="K25" s="40">
        <f t="shared" si="0"/>
        <v>78</v>
      </c>
      <c r="L25" s="40">
        <f t="shared" si="1"/>
        <v>55</v>
      </c>
      <c r="M25" s="221">
        <v>18</v>
      </c>
      <c r="N25" s="150"/>
    </row>
    <row r="26" spans="2:14" s="27" customFormat="1" ht="11.25">
      <c r="B26" s="40">
        <v>19</v>
      </c>
      <c r="C26" s="40">
        <v>117</v>
      </c>
      <c r="D26" s="39" t="s">
        <v>656</v>
      </c>
      <c r="E26" s="39" t="s">
        <v>594</v>
      </c>
      <c r="F26" s="40">
        <v>14</v>
      </c>
      <c r="G26" s="40">
        <v>20</v>
      </c>
      <c r="H26" s="40">
        <v>20</v>
      </c>
      <c r="I26" s="40">
        <v>16</v>
      </c>
      <c r="J26" s="40">
        <v>16</v>
      </c>
      <c r="K26" s="40">
        <f t="shared" si="0"/>
        <v>86</v>
      </c>
      <c r="L26" s="40">
        <f t="shared" si="1"/>
        <v>66</v>
      </c>
      <c r="M26" s="221">
        <v>19</v>
      </c>
      <c r="N26" s="150"/>
    </row>
    <row r="27" spans="2:14" s="27" customFormat="1" ht="11.25">
      <c r="B27" s="40">
        <v>20</v>
      </c>
      <c r="C27" s="40">
        <v>142</v>
      </c>
      <c r="D27" s="39" t="s">
        <v>507</v>
      </c>
      <c r="E27" s="39" t="s">
        <v>594</v>
      </c>
      <c r="F27" s="40">
        <v>18</v>
      </c>
      <c r="G27" s="40">
        <v>16</v>
      </c>
      <c r="H27" s="40">
        <v>19</v>
      </c>
      <c r="I27" s="40">
        <v>18</v>
      </c>
      <c r="J27" s="40">
        <v>18</v>
      </c>
      <c r="K27" s="40">
        <f t="shared" si="0"/>
        <v>89</v>
      </c>
      <c r="L27" s="40">
        <f t="shared" si="1"/>
        <v>70</v>
      </c>
      <c r="M27" s="221">
        <v>20</v>
      </c>
      <c r="N27" s="150"/>
    </row>
    <row r="28" spans="2:14" s="27" customFormat="1" ht="11.25">
      <c r="B28" s="40">
        <v>21</v>
      </c>
      <c r="C28" s="40">
        <v>170</v>
      </c>
      <c r="D28" s="39" t="s">
        <v>649</v>
      </c>
      <c r="E28" s="39" t="s">
        <v>603</v>
      </c>
      <c r="F28" s="40">
        <v>16</v>
      </c>
      <c r="G28" s="40">
        <v>21</v>
      </c>
      <c r="H28" s="40">
        <v>21</v>
      </c>
      <c r="I28" s="40">
        <v>21</v>
      </c>
      <c r="J28" s="40">
        <v>15</v>
      </c>
      <c r="K28" s="40">
        <f t="shared" si="0"/>
        <v>94</v>
      </c>
      <c r="L28" s="40">
        <f t="shared" si="1"/>
        <v>73</v>
      </c>
      <c r="M28" s="221">
        <v>21</v>
      </c>
      <c r="N28" s="150"/>
    </row>
    <row r="29" spans="2:14" s="27" customFormat="1" ht="11.25">
      <c r="B29" s="40">
        <v>22</v>
      </c>
      <c r="C29" s="40">
        <v>26</v>
      </c>
      <c r="D29" s="39" t="s">
        <v>535</v>
      </c>
      <c r="E29" s="39" t="s">
        <v>594</v>
      </c>
      <c r="F29" s="40">
        <v>15</v>
      </c>
      <c r="G29" s="40">
        <v>23</v>
      </c>
      <c r="H29" s="40" t="s">
        <v>290</v>
      </c>
      <c r="I29" s="40">
        <v>23</v>
      </c>
      <c r="J29" s="40">
        <v>17</v>
      </c>
      <c r="K29" s="40">
        <f>SUM(F29:J29)+25</f>
        <v>103</v>
      </c>
      <c r="L29" s="40">
        <f>K29-25</f>
        <v>78</v>
      </c>
      <c r="M29" s="221">
        <v>22</v>
      </c>
      <c r="N29" s="150"/>
    </row>
    <row r="30" spans="2:14" s="27" customFormat="1" ht="11.25">
      <c r="B30" s="40">
        <v>23</v>
      </c>
      <c r="C30" s="40">
        <v>70</v>
      </c>
      <c r="D30" s="39" t="s">
        <v>508</v>
      </c>
      <c r="E30" s="39" t="s">
        <v>594</v>
      </c>
      <c r="F30" s="40">
        <v>22</v>
      </c>
      <c r="G30" s="40">
        <v>22</v>
      </c>
      <c r="H30" s="40">
        <v>22</v>
      </c>
      <c r="I30" s="40">
        <v>22</v>
      </c>
      <c r="J30" s="40">
        <v>19</v>
      </c>
      <c r="K30" s="40">
        <f>SUM(F30:J30)</f>
        <v>107</v>
      </c>
      <c r="L30" s="40">
        <f>K30-MAX(F30:J30)</f>
        <v>85</v>
      </c>
      <c r="M30" s="221">
        <v>23</v>
      </c>
      <c r="N30" s="150"/>
    </row>
    <row r="31" spans="2:14" s="27" customFormat="1" ht="11.25">
      <c r="B31" s="50">
        <v>24</v>
      </c>
      <c r="C31" s="50">
        <v>5</v>
      </c>
      <c r="D31" s="60" t="s">
        <v>512</v>
      </c>
      <c r="E31" s="60" t="s">
        <v>594</v>
      </c>
      <c r="F31" s="50" t="s">
        <v>361</v>
      </c>
      <c r="G31" s="50" t="s">
        <v>361</v>
      </c>
      <c r="H31" s="50" t="s">
        <v>361</v>
      </c>
      <c r="I31" s="50" t="s">
        <v>361</v>
      </c>
      <c r="J31" s="50" t="s">
        <v>361</v>
      </c>
      <c r="K31" s="50">
        <f>25*5</f>
        <v>125</v>
      </c>
      <c r="L31" s="50">
        <f>K31-25</f>
        <v>100</v>
      </c>
      <c r="M31" s="221">
        <v>24</v>
      </c>
      <c r="N31" s="150"/>
    </row>
    <row r="32" spans="2:14" s="27" customFormat="1" ht="11.25">
      <c r="B32" s="66"/>
      <c r="D32" s="150"/>
      <c r="E32" s="150"/>
      <c r="F32" s="66"/>
      <c r="G32" s="66"/>
      <c r="H32" s="66"/>
      <c r="I32" s="66"/>
      <c r="J32" s="66"/>
      <c r="K32" s="66"/>
      <c r="L32" s="66"/>
      <c r="M32" s="150"/>
      <c r="N32" s="150"/>
    </row>
    <row r="33" spans="2:14" s="27" customFormat="1" ht="11.25">
      <c r="B33" s="27" t="s">
        <v>588</v>
      </c>
      <c r="F33" s="24"/>
      <c r="G33" s="24"/>
      <c r="H33" s="24"/>
      <c r="I33" s="24"/>
      <c r="J33" s="24"/>
      <c r="K33" s="24"/>
      <c r="L33" s="24"/>
      <c r="M33" s="150"/>
      <c r="N33" s="150"/>
    </row>
    <row r="35" ht="12.75">
      <c r="B35" s="75" t="s">
        <v>610</v>
      </c>
    </row>
  </sheetData>
  <sheetProtection/>
  <hyperlinks>
    <hyperlink ref="B35" r:id="rId1" display="http://www.larchmontyc.org/Race_Committee/2005_SHNAT_RST.pdf"/>
  </hyperlinks>
  <printOptions/>
  <pageMargins left="0.75" right="0.75" top="1" bottom="1" header="0.5" footer="0.5"/>
  <pageSetup fitToHeight="1" fitToWidth="1" horizontalDpi="600" verticalDpi="600" orientation="landscape" r:id="rId2"/>
</worksheet>
</file>

<file path=xl/worksheets/sheet33.xml><?xml version="1.0" encoding="utf-8"?>
<worksheet xmlns="http://schemas.openxmlformats.org/spreadsheetml/2006/main" xmlns:r="http://schemas.openxmlformats.org/officeDocument/2006/relationships">
  <sheetPr codeName="Sheet6"/>
  <dimension ref="B2:I19"/>
  <sheetViews>
    <sheetView zoomScalePageLayoutView="0" workbookViewId="0" topLeftCell="A1">
      <selection activeCell="D32" sqref="D32"/>
    </sheetView>
  </sheetViews>
  <sheetFormatPr defaultColWidth="9.140625" defaultRowHeight="12.75"/>
  <cols>
    <col min="1" max="1" width="9.140625" style="3" customWidth="1"/>
    <col min="2" max="3" width="9.140625" style="11" customWidth="1"/>
    <col min="4" max="4" width="19.28125" style="3" bestFit="1" customWidth="1"/>
    <col min="5" max="9" width="8.140625" style="11" customWidth="1"/>
    <col min="10" max="16384" width="9.140625" style="3" customWidth="1"/>
  </cols>
  <sheetData>
    <row r="2" spans="2:3" ht="15.75">
      <c r="B2" s="21" t="s">
        <v>501</v>
      </c>
      <c r="C2" s="21"/>
    </row>
    <row r="3" spans="2:3" ht="12.75">
      <c r="B3" s="22"/>
      <c r="C3" s="22"/>
    </row>
    <row r="4" spans="2:3" ht="12.75" customHeight="1">
      <c r="B4" s="22" t="s">
        <v>306</v>
      </c>
      <c r="C4" s="22"/>
    </row>
    <row r="5" ht="12.75" customHeight="1"/>
    <row r="6" spans="2:9" ht="12.75">
      <c r="B6" s="41"/>
      <c r="C6" s="41" t="s">
        <v>451</v>
      </c>
      <c r="D6" s="38" t="s">
        <v>353</v>
      </c>
      <c r="E6" s="41" t="s">
        <v>291</v>
      </c>
      <c r="F6" s="41" t="s">
        <v>292</v>
      </c>
      <c r="G6" s="41" t="s">
        <v>293</v>
      </c>
      <c r="H6" s="41" t="s">
        <v>302</v>
      </c>
      <c r="I6" s="41" t="s">
        <v>294</v>
      </c>
    </row>
    <row r="7" spans="2:9" ht="12.75">
      <c r="B7" s="56">
        <v>1</v>
      </c>
      <c r="C7" s="56">
        <v>49</v>
      </c>
      <c r="D7" s="37" t="s">
        <v>502</v>
      </c>
      <c r="E7" s="58">
        <v>2</v>
      </c>
      <c r="F7" s="40">
        <v>1</v>
      </c>
      <c r="G7" s="40">
        <v>4</v>
      </c>
      <c r="H7" s="40">
        <v>1</v>
      </c>
      <c r="I7" s="40">
        <v>8</v>
      </c>
    </row>
    <row r="8" spans="2:9" ht="12.75">
      <c r="B8" s="56">
        <v>2</v>
      </c>
      <c r="C8" s="56">
        <v>23</v>
      </c>
      <c r="D8" s="39" t="s">
        <v>503</v>
      </c>
      <c r="E8" s="58">
        <v>4</v>
      </c>
      <c r="F8" s="40">
        <v>3</v>
      </c>
      <c r="G8" s="40">
        <v>3</v>
      </c>
      <c r="H8" s="40">
        <v>2</v>
      </c>
      <c r="I8" s="40">
        <v>12</v>
      </c>
    </row>
    <row r="9" spans="2:9" ht="12.75">
      <c r="B9" s="56">
        <v>3</v>
      </c>
      <c r="C9" s="56">
        <v>25</v>
      </c>
      <c r="D9" s="39" t="s">
        <v>504</v>
      </c>
      <c r="E9" s="58">
        <v>1</v>
      </c>
      <c r="F9" s="40">
        <v>2</v>
      </c>
      <c r="G9" s="40">
        <v>7</v>
      </c>
      <c r="H9" s="40">
        <v>4</v>
      </c>
      <c r="I9" s="40">
        <v>14</v>
      </c>
    </row>
    <row r="10" spans="2:9" ht="12.75">
      <c r="B10" s="56">
        <v>4</v>
      </c>
      <c r="C10" s="56">
        <v>106</v>
      </c>
      <c r="D10" s="39" t="s">
        <v>505</v>
      </c>
      <c r="E10" s="58">
        <v>3</v>
      </c>
      <c r="F10" s="40">
        <v>6</v>
      </c>
      <c r="G10" s="40">
        <v>6</v>
      </c>
      <c r="H10" s="40">
        <v>3</v>
      </c>
      <c r="I10" s="40">
        <v>18</v>
      </c>
    </row>
    <row r="11" spans="2:9" ht="12.75">
      <c r="B11" s="56">
        <v>5</v>
      </c>
      <c r="C11" s="56">
        <v>183</v>
      </c>
      <c r="D11" s="39" t="s">
        <v>506</v>
      </c>
      <c r="E11" s="58">
        <v>8</v>
      </c>
      <c r="F11" s="40">
        <v>9</v>
      </c>
      <c r="G11" s="40">
        <v>1</v>
      </c>
      <c r="H11" s="40">
        <v>5</v>
      </c>
      <c r="I11" s="40">
        <v>23</v>
      </c>
    </row>
    <row r="12" spans="2:9" ht="12.75">
      <c r="B12" s="56">
        <v>6</v>
      </c>
      <c r="C12" s="56">
        <v>176</v>
      </c>
      <c r="D12" s="39" t="s">
        <v>476</v>
      </c>
      <c r="E12" s="58">
        <v>6</v>
      </c>
      <c r="F12" s="40">
        <v>10</v>
      </c>
      <c r="G12" s="40">
        <v>2</v>
      </c>
      <c r="H12" s="40">
        <v>7</v>
      </c>
      <c r="I12" s="40">
        <v>25</v>
      </c>
    </row>
    <row r="13" spans="2:9" ht="12.75">
      <c r="B13" s="56">
        <v>7</v>
      </c>
      <c r="C13" s="56">
        <v>142</v>
      </c>
      <c r="D13" s="39" t="s">
        <v>507</v>
      </c>
      <c r="E13" s="58">
        <v>7</v>
      </c>
      <c r="F13" s="40">
        <v>7</v>
      </c>
      <c r="G13" s="40">
        <v>10</v>
      </c>
      <c r="H13" s="40">
        <v>8</v>
      </c>
      <c r="I13" s="40">
        <v>32</v>
      </c>
    </row>
    <row r="14" spans="2:9" ht="12.75">
      <c r="B14" s="56">
        <v>8</v>
      </c>
      <c r="C14" s="56">
        <v>70</v>
      </c>
      <c r="D14" s="39" t="s">
        <v>508</v>
      </c>
      <c r="E14" s="58">
        <v>11</v>
      </c>
      <c r="F14" s="40">
        <v>4</v>
      </c>
      <c r="G14" s="40">
        <v>8</v>
      </c>
      <c r="H14" s="40">
        <v>10</v>
      </c>
      <c r="I14" s="40">
        <v>33</v>
      </c>
    </row>
    <row r="15" spans="2:9" ht="12.75">
      <c r="B15" s="56">
        <v>9</v>
      </c>
      <c r="C15" s="56">
        <v>197</v>
      </c>
      <c r="D15" s="39" t="s">
        <v>509</v>
      </c>
      <c r="E15" s="58">
        <v>9</v>
      </c>
      <c r="F15" s="40">
        <v>8</v>
      </c>
      <c r="G15" s="40">
        <v>9</v>
      </c>
      <c r="H15" s="40">
        <v>11</v>
      </c>
      <c r="I15" s="40">
        <v>37</v>
      </c>
    </row>
    <row r="16" spans="2:9" ht="12.75">
      <c r="B16" s="56">
        <v>10</v>
      </c>
      <c r="C16" s="56">
        <v>182</v>
      </c>
      <c r="D16" s="39" t="s">
        <v>510</v>
      </c>
      <c r="E16" s="58">
        <v>5</v>
      </c>
      <c r="F16" s="40">
        <v>5</v>
      </c>
      <c r="G16" s="40">
        <v>14</v>
      </c>
      <c r="H16" s="40">
        <v>14</v>
      </c>
      <c r="I16" s="40">
        <v>38</v>
      </c>
    </row>
    <row r="17" spans="2:9" ht="12.75">
      <c r="B17" s="56">
        <v>11</v>
      </c>
      <c r="C17" s="56">
        <v>221</v>
      </c>
      <c r="D17" s="39" t="s">
        <v>367</v>
      </c>
      <c r="E17" s="58">
        <v>14</v>
      </c>
      <c r="F17" s="40">
        <v>14</v>
      </c>
      <c r="G17" s="40">
        <v>5</v>
      </c>
      <c r="H17" s="40">
        <v>6</v>
      </c>
      <c r="I17" s="40">
        <v>39</v>
      </c>
    </row>
    <row r="18" spans="2:9" ht="12.75">
      <c r="B18" s="56">
        <v>12</v>
      </c>
      <c r="C18" s="56">
        <v>117</v>
      </c>
      <c r="D18" s="39" t="s">
        <v>511</v>
      </c>
      <c r="E18" s="58">
        <v>12</v>
      </c>
      <c r="F18" s="40">
        <v>12</v>
      </c>
      <c r="G18" s="40">
        <v>11</v>
      </c>
      <c r="H18" s="40">
        <v>9</v>
      </c>
      <c r="I18" s="40">
        <v>44</v>
      </c>
    </row>
    <row r="19" spans="2:9" ht="12.75">
      <c r="B19" s="57">
        <v>13</v>
      </c>
      <c r="C19" s="57">
        <v>5</v>
      </c>
      <c r="D19" s="60" t="s">
        <v>512</v>
      </c>
      <c r="E19" s="59">
        <v>10</v>
      </c>
      <c r="F19" s="50">
        <v>11</v>
      </c>
      <c r="G19" s="50">
        <v>14</v>
      </c>
      <c r="H19" s="50">
        <v>14</v>
      </c>
      <c r="I19" s="50">
        <v>49</v>
      </c>
    </row>
  </sheetData>
  <sheetProtection/>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Sheet8"/>
  <dimension ref="B1:O27"/>
  <sheetViews>
    <sheetView zoomScalePageLayoutView="0" workbookViewId="0" topLeftCell="A3">
      <selection activeCell="D32" sqref="D32"/>
    </sheetView>
  </sheetViews>
  <sheetFormatPr defaultColWidth="12.57421875" defaultRowHeight="15" customHeight="1"/>
  <cols>
    <col min="1" max="1" width="7.421875" style="76" customWidth="1"/>
    <col min="2" max="2" width="6.7109375" style="128" customWidth="1"/>
    <col min="3" max="3" width="7.28125" style="77" bestFit="1" customWidth="1"/>
    <col min="4" max="4" width="28.57421875" style="78" bestFit="1" customWidth="1"/>
    <col min="5" max="5" width="12.00390625" style="78" bestFit="1" customWidth="1"/>
    <col min="6" max="11" width="6.8515625" style="77" bestFit="1" customWidth="1"/>
    <col min="12" max="12" width="5.00390625" style="77" bestFit="1" customWidth="1"/>
    <col min="13" max="13" width="4.00390625" style="77" bestFit="1" customWidth="1"/>
    <col min="14" max="16384" width="12.57421875" style="78" customWidth="1"/>
  </cols>
  <sheetData>
    <row r="1" ht="15" customHeight="1">
      <c r="B1" s="21" t="s">
        <v>349</v>
      </c>
    </row>
    <row r="2" ht="15" customHeight="1">
      <c r="B2" s="70" t="s">
        <v>452</v>
      </c>
    </row>
    <row r="3" ht="15" customHeight="1">
      <c r="B3" s="79" t="s">
        <v>522</v>
      </c>
    </row>
    <row r="4" ht="17.25" customHeight="1">
      <c r="B4" s="77"/>
    </row>
    <row r="5" spans="2:13" ht="15" customHeight="1">
      <c r="B5" s="84" t="s">
        <v>351</v>
      </c>
      <c r="C5" s="129" t="s">
        <v>352</v>
      </c>
      <c r="D5" s="129" t="s">
        <v>353</v>
      </c>
      <c r="E5" s="129" t="s">
        <v>354</v>
      </c>
      <c r="F5" s="129" t="s">
        <v>291</v>
      </c>
      <c r="G5" s="129" t="s">
        <v>292</v>
      </c>
      <c r="H5" s="129" t="s">
        <v>293</v>
      </c>
      <c r="I5" s="129" t="s">
        <v>302</v>
      </c>
      <c r="J5" s="129" t="s">
        <v>355</v>
      </c>
      <c r="K5" s="129" t="s">
        <v>391</v>
      </c>
      <c r="L5" s="130" t="s">
        <v>294</v>
      </c>
      <c r="M5" s="129" t="s">
        <v>434</v>
      </c>
    </row>
    <row r="6" spans="2:13" ht="15" customHeight="1">
      <c r="B6" s="91">
        <v>1</v>
      </c>
      <c r="C6" s="91">
        <v>57</v>
      </c>
      <c r="D6" s="131" t="s">
        <v>518</v>
      </c>
      <c r="E6" s="81" t="s">
        <v>523</v>
      </c>
      <c r="F6" s="89">
        <v>1</v>
      </c>
      <c r="G6" s="89">
        <v>5</v>
      </c>
      <c r="H6" s="89">
        <v>1</v>
      </c>
      <c r="I6" s="89">
        <v>2</v>
      </c>
      <c r="J6" s="89">
        <v>1</v>
      </c>
      <c r="K6" s="89">
        <v>4</v>
      </c>
      <c r="L6" s="132">
        <v>14</v>
      </c>
      <c r="M6" s="133">
        <v>9</v>
      </c>
    </row>
    <row r="7" spans="2:13" ht="15" customHeight="1">
      <c r="B7" s="81">
        <v>2</v>
      </c>
      <c r="C7" s="81">
        <v>25</v>
      </c>
      <c r="D7" s="93" t="s">
        <v>357</v>
      </c>
      <c r="E7" s="81" t="s">
        <v>356</v>
      </c>
      <c r="F7" s="89">
        <v>2</v>
      </c>
      <c r="G7" s="89">
        <v>1</v>
      </c>
      <c r="H7" s="89">
        <v>14</v>
      </c>
      <c r="I7" s="89">
        <v>5</v>
      </c>
      <c r="J7" s="89">
        <v>3</v>
      </c>
      <c r="K7" s="89">
        <v>1</v>
      </c>
      <c r="L7" s="132">
        <v>26</v>
      </c>
      <c r="M7" s="133">
        <v>12</v>
      </c>
    </row>
    <row r="8" spans="2:13" ht="15" customHeight="1">
      <c r="B8" s="81">
        <v>3</v>
      </c>
      <c r="C8" s="81">
        <v>221</v>
      </c>
      <c r="D8" s="93" t="s">
        <v>407</v>
      </c>
      <c r="E8" s="81" t="s">
        <v>356</v>
      </c>
      <c r="F8" s="89">
        <v>7</v>
      </c>
      <c r="G8" s="89">
        <v>2</v>
      </c>
      <c r="H8" s="89">
        <v>3</v>
      </c>
      <c r="I8" s="89">
        <v>6</v>
      </c>
      <c r="J8" s="89">
        <v>8</v>
      </c>
      <c r="K8" s="89">
        <v>3</v>
      </c>
      <c r="L8" s="132">
        <v>29</v>
      </c>
      <c r="M8" s="133">
        <v>21</v>
      </c>
    </row>
    <row r="9" spans="2:13" ht="15" customHeight="1">
      <c r="B9" s="81">
        <v>4</v>
      </c>
      <c r="C9" s="81">
        <v>231</v>
      </c>
      <c r="D9" s="93" t="s">
        <v>419</v>
      </c>
      <c r="E9" s="81" t="s">
        <v>356</v>
      </c>
      <c r="F9" s="89">
        <v>13</v>
      </c>
      <c r="G9" s="89">
        <v>6</v>
      </c>
      <c r="H9" s="89">
        <v>2</v>
      </c>
      <c r="I9" s="89">
        <v>3</v>
      </c>
      <c r="J9" s="89">
        <v>2</v>
      </c>
      <c r="K9" s="89">
        <v>11</v>
      </c>
      <c r="L9" s="132">
        <v>37</v>
      </c>
      <c r="M9" s="133">
        <v>24</v>
      </c>
    </row>
    <row r="10" spans="2:13" ht="15" customHeight="1">
      <c r="B10" s="81">
        <v>5</v>
      </c>
      <c r="C10" s="81">
        <v>106</v>
      </c>
      <c r="D10" s="93" t="s">
        <v>505</v>
      </c>
      <c r="E10" s="81" t="s">
        <v>356</v>
      </c>
      <c r="F10" s="89">
        <v>5</v>
      </c>
      <c r="G10" s="89">
        <v>9</v>
      </c>
      <c r="H10" s="89">
        <v>8</v>
      </c>
      <c r="I10" s="89">
        <v>1</v>
      </c>
      <c r="J10" s="89">
        <v>5</v>
      </c>
      <c r="K10" s="89">
        <v>10</v>
      </c>
      <c r="L10" s="132">
        <v>38</v>
      </c>
      <c r="M10" s="133">
        <v>28</v>
      </c>
    </row>
    <row r="11" spans="2:13" ht="15" customHeight="1">
      <c r="B11" s="81">
        <v>6</v>
      </c>
      <c r="C11" s="81">
        <v>49</v>
      </c>
      <c r="D11" s="93" t="s">
        <v>514</v>
      </c>
      <c r="E11" s="81" t="s">
        <v>356</v>
      </c>
      <c r="F11" s="89">
        <v>3</v>
      </c>
      <c r="G11" s="89">
        <v>11</v>
      </c>
      <c r="H11" s="89">
        <v>5</v>
      </c>
      <c r="I11" s="89">
        <v>7</v>
      </c>
      <c r="J11" s="89">
        <v>4</v>
      </c>
      <c r="K11" s="89">
        <v>9</v>
      </c>
      <c r="L11" s="132">
        <v>39</v>
      </c>
      <c r="M11" s="133">
        <v>28</v>
      </c>
    </row>
    <row r="12" spans="2:13" ht="15" customHeight="1">
      <c r="B12" s="81">
        <v>7</v>
      </c>
      <c r="C12" s="81">
        <v>23</v>
      </c>
      <c r="D12" s="93" t="s">
        <v>503</v>
      </c>
      <c r="E12" s="81" t="s">
        <v>356</v>
      </c>
      <c r="F12" s="89" t="s">
        <v>517</v>
      </c>
      <c r="G12" s="89">
        <v>3</v>
      </c>
      <c r="H12" s="89">
        <v>11</v>
      </c>
      <c r="I12" s="89">
        <v>4</v>
      </c>
      <c r="J12" s="89">
        <v>6</v>
      </c>
      <c r="K12" s="89">
        <v>8</v>
      </c>
      <c r="L12" s="132">
        <v>54</v>
      </c>
      <c r="M12" s="133">
        <v>32</v>
      </c>
    </row>
    <row r="13" spans="2:13" ht="15" customHeight="1">
      <c r="B13" s="81">
        <v>8</v>
      </c>
      <c r="C13" s="81">
        <v>83</v>
      </c>
      <c r="D13" s="93" t="s">
        <v>519</v>
      </c>
      <c r="E13" s="81" t="s">
        <v>524</v>
      </c>
      <c r="F13" s="89">
        <v>6</v>
      </c>
      <c r="G13" s="89">
        <v>10</v>
      </c>
      <c r="H13" s="89">
        <v>7</v>
      </c>
      <c r="I13" s="89">
        <v>11</v>
      </c>
      <c r="J13" s="89">
        <v>9</v>
      </c>
      <c r="K13" s="89">
        <v>2</v>
      </c>
      <c r="L13" s="132">
        <v>45</v>
      </c>
      <c r="M13" s="133">
        <v>34</v>
      </c>
    </row>
    <row r="14" spans="2:13" ht="15" customHeight="1">
      <c r="B14" s="81">
        <v>9</v>
      </c>
      <c r="C14" s="81">
        <v>246</v>
      </c>
      <c r="D14" s="93" t="s">
        <v>358</v>
      </c>
      <c r="E14" s="81" t="s">
        <v>523</v>
      </c>
      <c r="F14" s="89">
        <v>4</v>
      </c>
      <c r="G14" s="89">
        <v>13</v>
      </c>
      <c r="H14" s="89">
        <v>4</v>
      </c>
      <c r="I14" s="89">
        <v>14</v>
      </c>
      <c r="J14" s="89">
        <v>11</v>
      </c>
      <c r="K14" s="89">
        <v>6</v>
      </c>
      <c r="L14" s="132">
        <v>52</v>
      </c>
      <c r="M14" s="133">
        <v>38</v>
      </c>
    </row>
    <row r="15" spans="2:13" ht="15" customHeight="1">
      <c r="B15" s="81">
        <v>10</v>
      </c>
      <c r="C15" s="81">
        <v>182</v>
      </c>
      <c r="D15" s="93" t="s">
        <v>359</v>
      </c>
      <c r="E15" s="81" t="s">
        <v>356</v>
      </c>
      <c r="F15" s="89">
        <v>10</v>
      </c>
      <c r="G15" s="89">
        <v>7</v>
      </c>
      <c r="H15" s="89">
        <v>9</v>
      </c>
      <c r="I15" s="89">
        <v>10</v>
      </c>
      <c r="J15" s="89">
        <v>7</v>
      </c>
      <c r="K15" s="89">
        <v>5</v>
      </c>
      <c r="L15" s="132">
        <v>48</v>
      </c>
      <c r="M15" s="133">
        <v>38</v>
      </c>
    </row>
    <row r="16" spans="2:13" ht="15" customHeight="1">
      <c r="B16" s="81">
        <v>11</v>
      </c>
      <c r="C16" s="81">
        <v>87</v>
      </c>
      <c r="D16" s="93" t="s">
        <v>520</v>
      </c>
      <c r="E16" s="81" t="s">
        <v>523</v>
      </c>
      <c r="F16" s="89">
        <v>12</v>
      </c>
      <c r="G16" s="89">
        <v>16</v>
      </c>
      <c r="H16" s="89">
        <v>6</v>
      </c>
      <c r="I16" s="89">
        <v>8</v>
      </c>
      <c r="J16" s="89">
        <v>10</v>
      </c>
      <c r="K16" s="89">
        <v>7</v>
      </c>
      <c r="L16" s="132">
        <v>59</v>
      </c>
      <c r="M16" s="133">
        <v>43</v>
      </c>
    </row>
    <row r="17" spans="2:13" ht="15" customHeight="1">
      <c r="B17" s="81">
        <v>12</v>
      </c>
      <c r="C17" s="81">
        <v>183</v>
      </c>
      <c r="D17" s="93" t="s">
        <v>418</v>
      </c>
      <c r="E17" s="81" t="s">
        <v>356</v>
      </c>
      <c r="F17" s="89">
        <v>11</v>
      </c>
      <c r="G17" s="89">
        <v>4</v>
      </c>
      <c r="H17" s="89">
        <v>12</v>
      </c>
      <c r="I17" s="89">
        <v>15</v>
      </c>
      <c r="J17" s="89">
        <v>15</v>
      </c>
      <c r="K17" s="89">
        <v>12</v>
      </c>
      <c r="L17" s="132">
        <v>69</v>
      </c>
      <c r="M17" s="133">
        <v>54</v>
      </c>
    </row>
    <row r="18" spans="2:13" ht="15" customHeight="1">
      <c r="B18" s="81">
        <v>13</v>
      </c>
      <c r="C18" s="81">
        <v>70</v>
      </c>
      <c r="D18" s="93" t="s">
        <v>525</v>
      </c>
      <c r="E18" s="81" t="s">
        <v>356</v>
      </c>
      <c r="F18" s="89">
        <v>9</v>
      </c>
      <c r="G18" s="89">
        <v>8</v>
      </c>
      <c r="H18" s="89">
        <v>15</v>
      </c>
      <c r="I18" s="89">
        <v>9</v>
      </c>
      <c r="J18" s="89">
        <v>16</v>
      </c>
      <c r="K18" s="89">
        <v>15</v>
      </c>
      <c r="L18" s="132">
        <v>72</v>
      </c>
      <c r="M18" s="133">
        <v>56</v>
      </c>
    </row>
    <row r="19" spans="2:13" ht="15" customHeight="1">
      <c r="B19" s="81">
        <v>14</v>
      </c>
      <c r="C19" s="81">
        <v>197</v>
      </c>
      <c r="D19" s="93" t="s">
        <v>411</v>
      </c>
      <c r="E19" s="81" t="s">
        <v>356</v>
      </c>
      <c r="F19" s="89">
        <v>8</v>
      </c>
      <c r="G19" s="89">
        <v>15</v>
      </c>
      <c r="H19" s="89">
        <v>10</v>
      </c>
      <c r="I19" s="89">
        <v>16</v>
      </c>
      <c r="J19" s="89">
        <v>13</v>
      </c>
      <c r="K19" s="89">
        <v>18</v>
      </c>
      <c r="L19" s="132">
        <v>80</v>
      </c>
      <c r="M19" s="133">
        <v>62</v>
      </c>
    </row>
    <row r="20" spans="2:13" ht="15" customHeight="1">
      <c r="B20" s="81">
        <v>15</v>
      </c>
      <c r="C20" s="81">
        <v>142</v>
      </c>
      <c r="D20" s="93" t="s">
        <v>410</v>
      </c>
      <c r="E20" s="81" t="s">
        <v>356</v>
      </c>
      <c r="F20" s="89">
        <v>16</v>
      </c>
      <c r="G20" s="89">
        <v>14</v>
      </c>
      <c r="H20" s="89">
        <v>13</v>
      </c>
      <c r="I20" s="89">
        <v>17</v>
      </c>
      <c r="J20" s="89">
        <v>12</v>
      </c>
      <c r="K20" s="89">
        <v>13</v>
      </c>
      <c r="L20" s="132">
        <v>85</v>
      </c>
      <c r="M20" s="133">
        <v>68</v>
      </c>
    </row>
    <row r="21" spans="2:13" ht="15" customHeight="1">
      <c r="B21" s="81">
        <v>16</v>
      </c>
      <c r="C21" s="81">
        <v>38</v>
      </c>
      <c r="D21" s="93" t="s">
        <v>404</v>
      </c>
      <c r="E21" s="81" t="s">
        <v>356</v>
      </c>
      <c r="F21" s="89">
        <v>14</v>
      </c>
      <c r="G21" s="89">
        <v>12</v>
      </c>
      <c r="H21" s="89">
        <v>16</v>
      </c>
      <c r="I21" s="89">
        <v>19</v>
      </c>
      <c r="J21" s="89" t="s">
        <v>360</v>
      </c>
      <c r="K21" s="89">
        <v>17</v>
      </c>
      <c r="L21" s="132">
        <v>100</v>
      </c>
      <c r="M21" s="133">
        <v>78</v>
      </c>
    </row>
    <row r="22" spans="2:15" ht="15" customHeight="1">
      <c r="B22" s="81">
        <v>17</v>
      </c>
      <c r="C22" s="81">
        <v>54</v>
      </c>
      <c r="D22" s="93" t="s">
        <v>414</v>
      </c>
      <c r="E22" s="81" t="s">
        <v>356</v>
      </c>
      <c r="F22" s="89" t="s">
        <v>361</v>
      </c>
      <c r="G22" s="89" t="s">
        <v>361</v>
      </c>
      <c r="H22" s="89" t="s">
        <v>361</v>
      </c>
      <c r="I22" s="89">
        <v>12</v>
      </c>
      <c r="J22" s="89">
        <v>14</v>
      </c>
      <c r="K22" s="89">
        <v>14</v>
      </c>
      <c r="L22" s="132">
        <v>106</v>
      </c>
      <c r="M22" s="133">
        <v>84</v>
      </c>
      <c r="O22" s="78" t="s">
        <v>191</v>
      </c>
    </row>
    <row r="23" spans="2:13" ht="15" customHeight="1">
      <c r="B23" s="81">
        <v>18</v>
      </c>
      <c r="C23" s="81">
        <v>117</v>
      </c>
      <c r="D23" s="93" t="s">
        <v>405</v>
      </c>
      <c r="E23" s="81" t="s">
        <v>356</v>
      </c>
      <c r="F23" s="89">
        <v>18</v>
      </c>
      <c r="G23" s="89">
        <v>17</v>
      </c>
      <c r="H23" s="89">
        <v>17</v>
      </c>
      <c r="I23" s="89">
        <v>18</v>
      </c>
      <c r="J23" s="89">
        <v>18</v>
      </c>
      <c r="K23" s="89">
        <v>16</v>
      </c>
      <c r="L23" s="132">
        <v>104</v>
      </c>
      <c r="M23" s="133">
        <v>86</v>
      </c>
    </row>
    <row r="24" spans="2:13" ht="15" customHeight="1">
      <c r="B24" s="81">
        <v>19</v>
      </c>
      <c r="C24" s="81">
        <v>5</v>
      </c>
      <c r="D24" s="93" t="s">
        <v>408</v>
      </c>
      <c r="E24" s="81" t="s">
        <v>356</v>
      </c>
      <c r="F24" s="89">
        <v>17</v>
      </c>
      <c r="G24" s="89">
        <v>18</v>
      </c>
      <c r="H24" s="89" t="s">
        <v>290</v>
      </c>
      <c r="I24" s="89">
        <v>13</v>
      </c>
      <c r="J24" s="89">
        <v>17</v>
      </c>
      <c r="K24" s="89" t="s">
        <v>361</v>
      </c>
      <c r="L24" s="132">
        <v>109</v>
      </c>
      <c r="M24" s="133">
        <v>87</v>
      </c>
    </row>
    <row r="25" spans="2:13" ht="15" customHeight="1">
      <c r="B25" s="81">
        <v>20</v>
      </c>
      <c r="C25" s="81">
        <v>41</v>
      </c>
      <c r="D25" s="93" t="s">
        <v>417</v>
      </c>
      <c r="E25" s="81" t="s">
        <v>356</v>
      </c>
      <c r="F25" s="89">
        <v>15</v>
      </c>
      <c r="G25" s="89" t="s">
        <v>299</v>
      </c>
      <c r="H25" s="89" t="s">
        <v>290</v>
      </c>
      <c r="I25" s="89" t="s">
        <v>361</v>
      </c>
      <c r="J25" s="89" t="s">
        <v>361</v>
      </c>
      <c r="K25" s="89" t="s">
        <v>361</v>
      </c>
      <c r="L25" s="132">
        <v>125</v>
      </c>
      <c r="M25" s="133">
        <v>103</v>
      </c>
    </row>
    <row r="26" spans="2:13" ht="15" customHeight="1">
      <c r="B26" s="83">
        <v>21</v>
      </c>
      <c r="C26" s="83">
        <v>16</v>
      </c>
      <c r="D26" s="94" t="s">
        <v>416</v>
      </c>
      <c r="E26" s="83" t="s">
        <v>356</v>
      </c>
      <c r="F26" s="96" t="s">
        <v>299</v>
      </c>
      <c r="G26" s="96" t="s">
        <v>290</v>
      </c>
      <c r="H26" s="96" t="s">
        <v>290</v>
      </c>
      <c r="I26" s="96" t="s">
        <v>361</v>
      </c>
      <c r="J26" s="96" t="s">
        <v>361</v>
      </c>
      <c r="K26" s="96" t="s">
        <v>361</v>
      </c>
      <c r="L26" s="134">
        <v>132</v>
      </c>
      <c r="M26" s="135">
        <v>110</v>
      </c>
    </row>
    <row r="27" ht="15" customHeight="1">
      <c r="K27" s="77" t="s">
        <v>191</v>
      </c>
    </row>
  </sheetData>
  <sheetProtection/>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codeName="Sheet7"/>
  <dimension ref="B2:K29"/>
  <sheetViews>
    <sheetView zoomScalePageLayoutView="0" workbookViewId="0" topLeftCell="A1">
      <selection activeCell="D32" sqref="D32"/>
    </sheetView>
  </sheetViews>
  <sheetFormatPr defaultColWidth="9.140625" defaultRowHeight="12.75"/>
  <cols>
    <col min="1" max="1" width="3.28125" style="3" customWidth="1"/>
    <col min="2" max="3" width="9.140625" style="3" customWidth="1"/>
    <col min="4" max="4" width="18.57421875" style="3" bestFit="1" customWidth="1"/>
    <col min="5" max="5" width="16.421875" style="3" bestFit="1" customWidth="1"/>
    <col min="6" max="10" width="9.140625" style="11" customWidth="1"/>
    <col min="11" max="16384" width="9.140625" style="3" customWidth="1"/>
  </cols>
  <sheetData>
    <row r="2" ht="12.75">
      <c r="B2" s="3" t="s">
        <v>586</v>
      </c>
    </row>
    <row r="3" ht="12.75">
      <c r="B3" s="3" t="s">
        <v>589</v>
      </c>
    </row>
    <row r="4" ht="12.75">
      <c r="B4" s="3" t="s">
        <v>350</v>
      </c>
    </row>
    <row r="6" ht="12.75">
      <c r="B6" s="3" t="s">
        <v>549</v>
      </c>
    </row>
    <row r="8" spans="2:10" ht="12.75">
      <c r="B8" s="152"/>
      <c r="C8" s="152" t="s">
        <v>451</v>
      </c>
      <c r="D8" s="152" t="s">
        <v>550</v>
      </c>
      <c r="E8" s="152" t="s">
        <v>551</v>
      </c>
      <c r="F8" s="152" t="s">
        <v>552</v>
      </c>
      <c r="G8" s="152" t="s">
        <v>553</v>
      </c>
      <c r="H8" s="152" t="s">
        <v>569</v>
      </c>
      <c r="I8" s="152" t="s">
        <v>570</v>
      </c>
      <c r="J8" s="152" t="s">
        <v>294</v>
      </c>
    </row>
    <row r="9" spans="2:11" ht="12.75">
      <c r="B9" s="154">
        <v>1</v>
      </c>
      <c r="C9" s="154">
        <v>25</v>
      </c>
      <c r="D9" s="153" t="s">
        <v>554</v>
      </c>
      <c r="E9" s="153" t="s">
        <v>357</v>
      </c>
      <c r="F9" s="154">
        <v>7</v>
      </c>
      <c r="G9" s="154">
        <v>1</v>
      </c>
      <c r="H9" s="154">
        <v>3</v>
      </c>
      <c r="I9" s="157">
        <v>5</v>
      </c>
      <c r="J9" s="154">
        <v>16</v>
      </c>
      <c r="K9" s="222">
        <v>1</v>
      </c>
    </row>
    <row r="10" spans="2:11" ht="12.75">
      <c r="B10" s="154">
        <v>2</v>
      </c>
      <c r="C10" s="154">
        <v>107</v>
      </c>
      <c r="D10" s="153" t="s">
        <v>555</v>
      </c>
      <c r="E10" s="153" t="s">
        <v>571</v>
      </c>
      <c r="F10" s="154">
        <v>1</v>
      </c>
      <c r="G10" s="154">
        <v>8</v>
      </c>
      <c r="H10" s="154">
        <v>5</v>
      </c>
      <c r="I10" s="157">
        <v>3</v>
      </c>
      <c r="J10" s="154">
        <v>17</v>
      </c>
      <c r="K10" s="222">
        <v>2</v>
      </c>
    </row>
    <row r="11" spans="2:11" ht="12.75">
      <c r="B11" s="154">
        <v>3</v>
      </c>
      <c r="C11" s="154">
        <v>239</v>
      </c>
      <c r="D11" s="153" t="s">
        <v>558</v>
      </c>
      <c r="E11" s="153" t="s">
        <v>572</v>
      </c>
      <c r="F11" s="154">
        <v>3</v>
      </c>
      <c r="G11" s="154">
        <v>9</v>
      </c>
      <c r="H11" s="154">
        <v>2</v>
      </c>
      <c r="I11" s="157">
        <v>7</v>
      </c>
      <c r="J11" s="154">
        <v>21</v>
      </c>
      <c r="K11" s="222">
        <v>3</v>
      </c>
    </row>
    <row r="12" spans="2:11" ht="12.75">
      <c r="B12" s="154">
        <v>4</v>
      </c>
      <c r="C12" s="154">
        <v>23</v>
      </c>
      <c r="D12" s="153" t="s">
        <v>556</v>
      </c>
      <c r="E12" s="153" t="s">
        <v>573</v>
      </c>
      <c r="F12" s="154">
        <v>9</v>
      </c>
      <c r="G12" s="154">
        <v>2</v>
      </c>
      <c r="H12" s="154">
        <v>10</v>
      </c>
      <c r="I12" s="157">
        <v>1</v>
      </c>
      <c r="J12" s="154">
        <v>22</v>
      </c>
      <c r="K12" s="222">
        <v>4</v>
      </c>
    </row>
    <row r="13" spans="2:11" ht="12.75">
      <c r="B13" s="154">
        <v>5</v>
      </c>
      <c r="C13" s="154">
        <v>106</v>
      </c>
      <c r="D13" s="153" t="s">
        <v>557</v>
      </c>
      <c r="E13" s="153" t="s">
        <v>574</v>
      </c>
      <c r="F13" s="154">
        <v>5</v>
      </c>
      <c r="G13" s="154">
        <v>6</v>
      </c>
      <c r="H13" s="154">
        <v>9</v>
      </c>
      <c r="I13" s="157">
        <v>2</v>
      </c>
      <c r="J13" s="154">
        <v>22</v>
      </c>
      <c r="K13" s="222">
        <v>5</v>
      </c>
    </row>
    <row r="14" spans="2:11" ht="12.75">
      <c r="B14" s="154">
        <v>6</v>
      </c>
      <c r="C14" s="154">
        <v>182</v>
      </c>
      <c r="D14" s="153" t="s">
        <v>561</v>
      </c>
      <c r="E14" s="153" t="s">
        <v>373</v>
      </c>
      <c r="F14" s="154">
        <v>6</v>
      </c>
      <c r="G14" s="154">
        <v>7</v>
      </c>
      <c r="H14" s="154">
        <v>1</v>
      </c>
      <c r="I14" s="157">
        <v>12</v>
      </c>
      <c r="J14" s="154">
        <v>26</v>
      </c>
      <c r="K14" s="222">
        <v>6</v>
      </c>
    </row>
    <row r="15" spans="2:11" ht="12.75">
      <c r="B15" s="154">
        <v>7</v>
      </c>
      <c r="C15" s="154">
        <v>176</v>
      </c>
      <c r="D15" s="153" t="s">
        <v>560</v>
      </c>
      <c r="E15" s="153" t="s">
        <v>575</v>
      </c>
      <c r="F15" s="154">
        <v>2</v>
      </c>
      <c r="G15" s="154">
        <v>11</v>
      </c>
      <c r="H15" s="154">
        <v>4</v>
      </c>
      <c r="I15" s="157">
        <v>9</v>
      </c>
      <c r="J15" s="154">
        <v>26</v>
      </c>
      <c r="K15" s="222">
        <v>7</v>
      </c>
    </row>
    <row r="16" spans="2:11" ht="12.75">
      <c r="B16" s="154">
        <v>8</v>
      </c>
      <c r="C16" s="154">
        <v>221</v>
      </c>
      <c r="D16" s="153" t="s">
        <v>559</v>
      </c>
      <c r="E16" s="153" t="s">
        <v>436</v>
      </c>
      <c r="F16" s="154">
        <v>8</v>
      </c>
      <c r="G16" s="154">
        <v>4</v>
      </c>
      <c r="H16" s="154">
        <v>7</v>
      </c>
      <c r="I16" s="157">
        <v>10</v>
      </c>
      <c r="J16" s="154">
        <v>29</v>
      </c>
      <c r="K16" s="222">
        <v>8</v>
      </c>
    </row>
    <row r="17" spans="2:11" ht="12.75">
      <c r="B17" s="154">
        <v>9</v>
      </c>
      <c r="C17" s="154">
        <v>142</v>
      </c>
      <c r="D17" s="153" t="s">
        <v>576</v>
      </c>
      <c r="E17" s="153" t="s">
        <v>577</v>
      </c>
      <c r="F17" s="154">
        <v>4</v>
      </c>
      <c r="G17" s="154">
        <v>12</v>
      </c>
      <c r="H17" s="154">
        <v>13</v>
      </c>
      <c r="I17" s="157">
        <v>6</v>
      </c>
      <c r="J17" s="154">
        <v>35</v>
      </c>
      <c r="K17" s="222">
        <v>9</v>
      </c>
    </row>
    <row r="18" spans="2:11" ht="12.75">
      <c r="B18" s="154">
        <v>10</v>
      </c>
      <c r="C18" s="154">
        <v>231</v>
      </c>
      <c r="D18" s="153" t="s">
        <v>565</v>
      </c>
      <c r="E18" s="153" t="s">
        <v>441</v>
      </c>
      <c r="F18" s="154">
        <v>10</v>
      </c>
      <c r="G18" s="154" t="s">
        <v>299</v>
      </c>
      <c r="H18" s="154">
        <v>6</v>
      </c>
      <c r="I18" s="157">
        <v>4</v>
      </c>
      <c r="J18" s="154">
        <v>39</v>
      </c>
      <c r="K18" s="222">
        <v>10</v>
      </c>
    </row>
    <row r="19" spans="2:11" ht="12.75">
      <c r="B19" s="154">
        <v>11</v>
      </c>
      <c r="C19" s="154">
        <v>197</v>
      </c>
      <c r="D19" s="153" t="s">
        <v>578</v>
      </c>
      <c r="E19" s="153" t="s">
        <v>579</v>
      </c>
      <c r="F19" s="154">
        <v>13</v>
      </c>
      <c r="G19" s="154">
        <v>3</v>
      </c>
      <c r="H19" s="154">
        <v>17</v>
      </c>
      <c r="I19" s="157">
        <v>14</v>
      </c>
      <c r="J19" s="154">
        <v>47</v>
      </c>
      <c r="K19" s="222">
        <v>11</v>
      </c>
    </row>
    <row r="20" spans="2:11" ht="12.75">
      <c r="B20" s="154">
        <v>12</v>
      </c>
      <c r="C20" s="154">
        <v>117</v>
      </c>
      <c r="D20" s="153" t="s">
        <v>562</v>
      </c>
      <c r="E20" s="153" t="s">
        <v>580</v>
      </c>
      <c r="F20" s="154">
        <v>12</v>
      </c>
      <c r="G20" s="154">
        <v>5</v>
      </c>
      <c r="H20" s="154">
        <v>16</v>
      </c>
      <c r="I20" s="157">
        <v>15</v>
      </c>
      <c r="J20" s="154">
        <v>48</v>
      </c>
      <c r="K20" s="222">
        <v>12</v>
      </c>
    </row>
    <row r="21" spans="2:11" ht="12.75">
      <c r="B21" s="154">
        <v>13</v>
      </c>
      <c r="C21" s="154">
        <v>11</v>
      </c>
      <c r="D21" s="153" t="s">
        <v>564</v>
      </c>
      <c r="E21" s="153" t="s">
        <v>581</v>
      </c>
      <c r="F21" s="154">
        <v>11</v>
      </c>
      <c r="G21" s="154">
        <v>14</v>
      </c>
      <c r="H21" s="154">
        <v>12</v>
      </c>
      <c r="I21" s="157">
        <v>11</v>
      </c>
      <c r="J21" s="154">
        <v>48</v>
      </c>
      <c r="K21" s="222">
        <v>13</v>
      </c>
    </row>
    <row r="22" spans="2:11" ht="12.75">
      <c r="B22" s="154">
        <v>14</v>
      </c>
      <c r="C22" s="154">
        <v>150</v>
      </c>
      <c r="D22" s="153" t="s">
        <v>567</v>
      </c>
      <c r="E22" s="153" t="s">
        <v>582</v>
      </c>
      <c r="F22" s="154">
        <v>15</v>
      </c>
      <c r="G22" s="154">
        <v>15</v>
      </c>
      <c r="H22" s="154">
        <v>8</v>
      </c>
      <c r="I22" s="157">
        <v>13</v>
      </c>
      <c r="J22" s="154">
        <v>51</v>
      </c>
      <c r="K22" s="222">
        <v>14</v>
      </c>
    </row>
    <row r="23" spans="2:11" ht="12.75">
      <c r="B23" s="154">
        <v>15</v>
      </c>
      <c r="C23" s="154">
        <v>70</v>
      </c>
      <c r="D23" s="153" t="s">
        <v>563</v>
      </c>
      <c r="E23" s="153" t="s">
        <v>583</v>
      </c>
      <c r="F23" s="154">
        <v>14</v>
      </c>
      <c r="G23" s="154">
        <v>10</v>
      </c>
      <c r="H23" s="154">
        <v>14</v>
      </c>
      <c r="I23" s="157">
        <v>16</v>
      </c>
      <c r="J23" s="154">
        <v>54</v>
      </c>
      <c r="K23" s="222">
        <v>15</v>
      </c>
    </row>
    <row r="24" spans="2:11" ht="12.75">
      <c r="B24" s="154">
        <v>16</v>
      </c>
      <c r="C24" s="154">
        <v>26</v>
      </c>
      <c r="D24" s="153" t="s">
        <v>568</v>
      </c>
      <c r="E24" s="153" t="s">
        <v>385</v>
      </c>
      <c r="F24" s="154">
        <v>17</v>
      </c>
      <c r="G24" s="154" t="s">
        <v>299</v>
      </c>
      <c r="H24" s="154">
        <v>11</v>
      </c>
      <c r="I24" s="157">
        <v>8</v>
      </c>
      <c r="J24" s="154">
        <v>55</v>
      </c>
      <c r="K24" s="222">
        <v>16</v>
      </c>
    </row>
    <row r="25" spans="2:11" ht="12.75">
      <c r="B25" s="154">
        <v>17</v>
      </c>
      <c r="C25" s="154">
        <v>238</v>
      </c>
      <c r="D25" s="153" t="s">
        <v>566</v>
      </c>
      <c r="E25" s="153" t="s">
        <v>584</v>
      </c>
      <c r="F25" s="154">
        <v>16</v>
      </c>
      <c r="G25" s="154">
        <v>13</v>
      </c>
      <c r="H25" s="154">
        <v>15</v>
      </c>
      <c r="I25" s="157">
        <v>17</v>
      </c>
      <c r="J25" s="154">
        <v>61</v>
      </c>
      <c r="K25" s="222">
        <v>17</v>
      </c>
    </row>
    <row r="26" spans="2:11" ht="12.75">
      <c r="B26" s="156">
        <v>18</v>
      </c>
      <c r="C26" s="156">
        <v>41</v>
      </c>
      <c r="D26" s="155" t="s">
        <v>585</v>
      </c>
      <c r="E26" s="155" t="s">
        <v>398</v>
      </c>
      <c r="F26" s="156" t="s">
        <v>361</v>
      </c>
      <c r="G26" s="156" t="s">
        <v>361</v>
      </c>
      <c r="H26" s="156" t="s">
        <v>361</v>
      </c>
      <c r="I26" s="158" t="s">
        <v>361</v>
      </c>
      <c r="J26" s="156">
        <v>76</v>
      </c>
      <c r="K26" s="222">
        <v>18</v>
      </c>
    </row>
    <row r="28" ht="12.75">
      <c r="B28" s="3" t="s">
        <v>588</v>
      </c>
    </row>
    <row r="29" ht="12.75">
      <c r="B29" s="249" t="s">
        <v>587</v>
      </c>
    </row>
  </sheetData>
  <sheetProtection/>
  <hyperlinks>
    <hyperlink ref="B29" location="'2005NOOD'!B29" display="http://www.sailingworld.com/article.jsp?ID=38676&amp;typeID=403&amp;catID=604&amp;exclude=NOOD"/>
  </hyperlink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codeName="Sheet27"/>
  <dimension ref="A1:AP37"/>
  <sheetViews>
    <sheetView zoomScalePageLayoutView="0" workbookViewId="0" topLeftCell="A1">
      <selection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42" width="4.140625" style="27" customWidth="1"/>
    <col min="43" max="16384" width="9.140625" style="27" customWidth="1"/>
  </cols>
  <sheetData>
    <row r="1" spans="1:26" ht="11.25">
      <c r="A1" s="27" t="s">
        <v>191</v>
      </c>
      <c r="Z1" s="27" t="s">
        <v>191</v>
      </c>
    </row>
    <row r="2" ht="11.25">
      <c r="D2" s="23" t="s">
        <v>500</v>
      </c>
    </row>
    <row r="3" ht="11.25">
      <c r="D3" s="27" t="s">
        <v>697</v>
      </c>
    </row>
    <row r="4" spans="4:42" ht="11.25">
      <c r="D4" s="27" t="s">
        <v>696</v>
      </c>
      <c r="H4" s="28" t="s">
        <v>300</v>
      </c>
      <c r="I4" s="29"/>
      <c r="J4" s="29"/>
      <c r="K4" s="29"/>
      <c r="L4" s="29"/>
      <c r="M4" s="29"/>
      <c r="N4" s="29"/>
      <c r="O4" s="29"/>
      <c r="P4" s="29"/>
      <c r="Q4" s="29"/>
      <c r="R4" s="30"/>
      <c r="AA4" s="28" t="s">
        <v>301</v>
      </c>
      <c r="AB4" s="29"/>
      <c r="AC4" s="29"/>
      <c r="AD4" s="49"/>
      <c r="AE4" s="49"/>
      <c r="AF4" s="49"/>
      <c r="AG4" s="49"/>
      <c r="AH4" s="49"/>
      <c r="AI4" s="49"/>
      <c r="AJ4" s="49"/>
      <c r="AK4" s="29"/>
      <c r="AL4" s="29"/>
      <c r="AM4" s="49"/>
      <c r="AN4" s="49"/>
      <c r="AO4" s="29"/>
      <c r="AP4" s="30"/>
    </row>
    <row r="5" spans="4:42" ht="11.25">
      <c r="D5" s="191" t="s">
        <v>737</v>
      </c>
      <c r="H5" s="375" t="s">
        <v>309</v>
      </c>
      <c r="I5" s="376"/>
      <c r="J5" s="376"/>
      <c r="K5" s="377"/>
      <c r="L5" s="53" t="s">
        <v>513</v>
      </c>
      <c r="M5" s="53" t="s">
        <v>313</v>
      </c>
      <c r="N5" s="53" t="s">
        <v>312</v>
      </c>
      <c r="O5" s="375" t="s">
        <v>314</v>
      </c>
      <c r="P5" s="376"/>
      <c r="Q5" s="376"/>
      <c r="R5" s="377"/>
      <c r="S5" s="375" t="s">
        <v>288</v>
      </c>
      <c r="T5" s="376"/>
      <c r="U5" s="376"/>
      <c r="V5" s="376"/>
      <c r="W5" s="376"/>
      <c r="X5" s="376"/>
      <c r="Y5" s="376"/>
      <c r="Z5" s="376"/>
      <c r="AA5" s="53" t="s">
        <v>312</v>
      </c>
      <c r="AB5" s="375" t="s">
        <v>546</v>
      </c>
      <c r="AC5" s="376"/>
      <c r="AD5" s="375" t="s">
        <v>548</v>
      </c>
      <c r="AE5" s="376"/>
      <c r="AF5" s="376"/>
      <c r="AG5" s="376"/>
      <c r="AH5" s="376"/>
      <c r="AI5" s="376"/>
      <c r="AJ5" s="377"/>
      <c r="AK5" s="376" t="s">
        <v>313</v>
      </c>
      <c r="AL5" s="376"/>
      <c r="AM5" s="375" t="s">
        <v>738</v>
      </c>
      <c r="AN5" s="377"/>
      <c r="AO5" s="375" t="s">
        <v>660</v>
      </c>
      <c r="AP5" s="377"/>
    </row>
    <row r="6" spans="3:42" ht="11.25">
      <c r="C6" s="37"/>
      <c r="D6" s="126"/>
      <c r="E6" s="105"/>
      <c r="F6" s="115"/>
      <c r="G6" s="116" t="s">
        <v>184</v>
      </c>
      <c r="H6" s="62" t="s">
        <v>295</v>
      </c>
      <c r="I6" s="41" t="s">
        <v>295</v>
      </c>
      <c r="J6" s="41" t="s">
        <v>295</v>
      </c>
      <c r="K6" s="41" t="s">
        <v>430</v>
      </c>
      <c r="L6" s="41" t="s">
        <v>295</v>
      </c>
      <c r="M6" s="41" t="s">
        <v>295</v>
      </c>
      <c r="N6" s="41" t="s">
        <v>515</v>
      </c>
      <c r="O6" s="41"/>
      <c r="P6" s="41"/>
      <c r="Q6" s="41"/>
      <c r="R6" s="41"/>
      <c r="S6" s="41" t="s">
        <v>295</v>
      </c>
      <c r="T6" s="41" t="s">
        <v>295</v>
      </c>
      <c r="U6" s="41" t="s">
        <v>295</v>
      </c>
      <c r="V6" s="41" t="s">
        <v>515</v>
      </c>
      <c r="W6" s="41" t="s">
        <v>430</v>
      </c>
      <c r="X6" s="41" t="s">
        <v>295</v>
      </c>
      <c r="Y6" s="41" t="s">
        <v>295</v>
      </c>
      <c r="Z6" s="41" t="s">
        <v>430</v>
      </c>
      <c r="AA6" s="41" t="s">
        <v>515</v>
      </c>
      <c r="AB6" s="41" t="s">
        <v>515</v>
      </c>
      <c r="AC6" s="41" t="s">
        <v>515</v>
      </c>
      <c r="AD6" s="41" t="s">
        <v>295</v>
      </c>
      <c r="AE6" s="41" t="s">
        <v>295</v>
      </c>
      <c r="AF6" s="41" t="s">
        <v>295</v>
      </c>
      <c r="AG6" s="41" t="s">
        <v>295</v>
      </c>
      <c r="AH6" s="41" t="s">
        <v>295</v>
      </c>
      <c r="AI6" s="41" t="s">
        <v>295</v>
      </c>
      <c r="AJ6" s="41" t="s">
        <v>295</v>
      </c>
      <c r="AK6" s="41"/>
      <c r="AL6" s="41"/>
      <c r="AM6" s="41"/>
      <c r="AN6" s="41"/>
      <c r="AO6" s="41"/>
      <c r="AP6" s="41"/>
    </row>
    <row r="7" spans="3:42" ht="11.25">
      <c r="C7" s="39"/>
      <c r="D7" s="63"/>
      <c r="E7" s="56"/>
      <c r="F7" s="117"/>
      <c r="G7" s="118" t="s">
        <v>185</v>
      </c>
      <c r="H7" s="112">
        <v>190</v>
      </c>
      <c r="I7" s="42">
        <v>190</v>
      </c>
      <c r="J7" s="42">
        <v>330</v>
      </c>
      <c r="K7" s="42">
        <v>330</v>
      </c>
      <c r="L7" s="41">
        <v>180</v>
      </c>
      <c r="M7" s="41">
        <v>230</v>
      </c>
      <c r="N7" s="41">
        <v>130</v>
      </c>
      <c r="O7" s="41"/>
      <c r="P7" s="41"/>
      <c r="Q7" s="41"/>
      <c r="R7" s="41"/>
      <c r="S7" s="41">
        <v>85</v>
      </c>
      <c r="T7" s="41">
        <v>85</v>
      </c>
      <c r="U7" s="41">
        <v>85</v>
      </c>
      <c r="V7" s="41">
        <v>90</v>
      </c>
      <c r="W7" s="41">
        <v>135</v>
      </c>
      <c r="X7" s="41">
        <v>10</v>
      </c>
      <c r="Y7" s="41">
        <v>10</v>
      </c>
      <c r="Z7" s="41">
        <v>170</v>
      </c>
      <c r="AA7" s="41">
        <v>135</v>
      </c>
      <c r="AB7" s="41">
        <v>300</v>
      </c>
      <c r="AC7" s="41">
        <v>300</v>
      </c>
      <c r="AD7" s="41">
        <v>175</v>
      </c>
      <c r="AE7" s="41">
        <v>175</v>
      </c>
      <c r="AF7" s="41">
        <v>175</v>
      </c>
      <c r="AG7" s="41">
        <v>175</v>
      </c>
      <c r="AH7" s="41">
        <v>175</v>
      </c>
      <c r="AI7" s="41">
        <v>175</v>
      </c>
      <c r="AJ7" s="41">
        <v>175</v>
      </c>
      <c r="AK7" s="41"/>
      <c r="AL7" s="41"/>
      <c r="AM7" s="41"/>
      <c r="AN7" s="41"/>
      <c r="AO7" s="41"/>
      <c r="AP7" s="41"/>
    </row>
    <row r="8" spans="3:42" ht="11.25">
      <c r="C8" s="39"/>
      <c r="D8" s="63"/>
      <c r="E8" s="56"/>
      <c r="F8" s="117"/>
      <c r="G8" s="118" t="s">
        <v>186</v>
      </c>
      <c r="H8" s="62">
        <v>12</v>
      </c>
      <c r="I8" s="41">
        <v>20</v>
      </c>
      <c r="J8" s="44" t="s">
        <v>363</v>
      </c>
      <c r="K8" s="43" t="s">
        <v>362</v>
      </c>
      <c r="L8" s="111">
        <v>5</v>
      </c>
      <c r="M8" s="43">
        <v>5</v>
      </c>
      <c r="N8" s="43">
        <v>5</v>
      </c>
      <c r="O8" s="43"/>
      <c r="P8" s="43"/>
      <c r="Q8" s="43"/>
      <c r="R8" s="43"/>
      <c r="S8" s="43">
        <v>10</v>
      </c>
      <c r="T8" s="43">
        <v>10</v>
      </c>
      <c r="U8" s="43">
        <v>12</v>
      </c>
      <c r="V8" s="43">
        <v>5</v>
      </c>
      <c r="W8" s="43">
        <v>3</v>
      </c>
      <c r="X8" s="43">
        <v>20</v>
      </c>
      <c r="Y8" s="43">
        <v>15</v>
      </c>
      <c r="Z8" s="43">
        <v>2</v>
      </c>
      <c r="AA8" s="43">
        <v>2</v>
      </c>
      <c r="AB8" s="43">
        <v>2</v>
      </c>
      <c r="AC8" s="43">
        <v>1</v>
      </c>
      <c r="AD8" s="43">
        <v>15</v>
      </c>
      <c r="AE8" s="43">
        <v>15</v>
      </c>
      <c r="AF8" s="43">
        <v>15</v>
      </c>
      <c r="AG8" s="43">
        <v>15</v>
      </c>
      <c r="AH8" s="43">
        <v>10</v>
      </c>
      <c r="AI8" s="43">
        <v>8</v>
      </c>
      <c r="AJ8" s="43">
        <v>5</v>
      </c>
      <c r="AK8" s="43"/>
      <c r="AL8" s="43"/>
      <c r="AM8" s="43"/>
      <c r="AN8" s="43"/>
      <c r="AO8" s="43"/>
      <c r="AP8" s="43"/>
    </row>
    <row r="9" spans="3:42" ht="11.25">
      <c r="C9" s="60"/>
      <c r="D9" s="127"/>
      <c r="E9" s="56">
        <f>COUNTIF($H9:AP9,"&gt;0")</f>
        <v>35</v>
      </c>
      <c r="F9" s="119"/>
      <c r="G9" s="120" t="s">
        <v>187</v>
      </c>
      <c r="H9" s="62">
        <v>12</v>
      </c>
      <c r="I9" s="41">
        <v>12</v>
      </c>
      <c r="J9" s="41">
        <v>11</v>
      </c>
      <c r="K9" s="41">
        <v>11</v>
      </c>
      <c r="L9" s="41">
        <v>13</v>
      </c>
      <c r="M9" s="41">
        <v>11</v>
      </c>
      <c r="N9" s="41">
        <v>12</v>
      </c>
      <c r="O9" s="41">
        <v>10</v>
      </c>
      <c r="P9" s="41">
        <v>10</v>
      </c>
      <c r="Q9" s="41">
        <v>9</v>
      </c>
      <c r="R9" s="41">
        <v>7</v>
      </c>
      <c r="S9" s="41">
        <v>15</v>
      </c>
      <c r="T9" s="41">
        <v>15</v>
      </c>
      <c r="U9" s="41">
        <v>15</v>
      </c>
      <c r="V9" s="41">
        <v>17</v>
      </c>
      <c r="W9" s="41">
        <v>16</v>
      </c>
      <c r="X9" s="41">
        <v>17</v>
      </c>
      <c r="Y9" s="41">
        <v>16</v>
      </c>
      <c r="Z9" s="41">
        <v>15</v>
      </c>
      <c r="AA9" s="41">
        <v>13</v>
      </c>
      <c r="AB9" s="41">
        <v>8</v>
      </c>
      <c r="AC9" s="41">
        <v>8</v>
      </c>
      <c r="AD9" s="41">
        <v>8</v>
      </c>
      <c r="AE9" s="41">
        <v>8</v>
      </c>
      <c r="AF9" s="41">
        <v>7</v>
      </c>
      <c r="AG9" s="41">
        <v>7</v>
      </c>
      <c r="AH9" s="41">
        <v>8</v>
      </c>
      <c r="AI9" s="41">
        <v>8</v>
      </c>
      <c r="AJ9" s="41">
        <v>7</v>
      </c>
      <c r="AK9" s="41">
        <v>6</v>
      </c>
      <c r="AL9" s="41">
        <v>4</v>
      </c>
      <c r="AM9" s="41">
        <v>5</v>
      </c>
      <c r="AN9" s="41">
        <v>4</v>
      </c>
      <c r="AO9" s="41">
        <v>7</v>
      </c>
      <c r="AP9" s="41">
        <v>6</v>
      </c>
    </row>
    <row r="10" spans="3:42" ht="37.5">
      <c r="C10" s="41" t="s">
        <v>451</v>
      </c>
      <c r="D10" s="124" t="s">
        <v>422</v>
      </c>
      <c r="E10" s="149" t="s">
        <v>188</v>
      </c>
      <c r="F10" s="149" t="s">
        <v>189</v>
      </c>
      <c r="G10" s="151" t="s">
        <v>190</v>
      </c>
      <c r="H10" s="36">
        <v>38135</v>
      </c>
      <c r="I10" s="36">
        <v>38135</v>
      </c>
      <c r="J10" s="36">
        <v>38136</v>
      </c>
      <c r="K10" s="36">
        <v>38136</v>
      </c>
      <c r="L10" s="36">
        <v>38142</v>
      </c>
      <c r="M10" s="36">
        <v>38149</v>
      </c>
      <c r="N10" s="36">
        <v>38156</v>
      </c>
      <c r="O10" s="36">
        <v>38170</v>
      </c>
      <c r="P10" s="36">
        <v>38170</v>
      </c>
      <c r="Q10" s="36">
        <v>38171</v>
      </c>
      <c r="R10" s="36">
        <v>38171</v>
      </c>
      <c r="S10" s="36">
        <v>38184</v>
      </c>
      <c r="T10" s="36">
        <v>38184</v>
      </c>
      <c r="U10" s="36">
        <v>38184</v>
      </c>
      <c r="V10" s="36">
        <v>38185</v>
      </c>
      <c r="W10" s="36">
        <v>38185</v>
      </c>
      <c r="X10" s="36">
        <v>38191</v>
      </c>
      <c r="Y10" s="36">
        <v>38191</v>
      </c>
      <c r="Z10" s="36">
        <v>38192</v>
      </c>
      <c r="AA10" s="36">
        <v>38205</v>
      </c>
      <c r="AB10" s="36">
        <v>38219</v>
      </c>
      <c r="AC10" s="36">
        <v>38219</v>
      </c>
      <c r="AD10" s="36">
        <v>38226</v>
      </c>
      <c r="AE10" s="36">
        <v>38226</v>
      </c>
      <c r="AF10" s="36">
        <v>38226</v>
      </c>
      <c r="AG10" s="36">
        <v>38226</v>
      </c>
      <c r="AH10" s="36">
        <v>38227</v>
      </c>
      <c r="AI10" s="36">
        <v>38227</v>
      </c>
      <c r="AJ10" s="36">
        <v>38227</v>
      </c>
      <c r="AK10" s="36">
        <v>38233</v>
      </c>
      <c r="AL10" s="36">
        <v>38233</v>
      </c>
      <c r="AM10" s="36">
        <v>38261</v>
      </c>
      <c r="AN10" s="36">
        <v>38261</v>
      </c>
      <c r="AO10" s="36">
        <v>38269</v>
      </c>
      <c r="AP10" s="36">
        <v>38269</v>
      </c>
    </row>
    <row r="11" spans="2:42" ht="11.25">
      <c r="B11" s="27">
        <v>1</v>
      </c>
      <c r="C11" s="38">
        <v>25</v>
      </c>
      <c r="D11" s="37" t="s">
        <v>357</v>
      </c>
      <c r="E11" s="217">
        <f aca="true" t="shared" si="0" ref="E11:E30">COUNTA(H11:AP11)</f>
        <v>31</v>
      </c>
      <c r="F11" s="48">
        <v>0</v>
      </c>
      <c r="G11" s="214">
        <f>C_S_G($H11:AP11,$H$9:AP$9,csg_table,E$9,F11)</f>
        <v>0.878726833199033</v>
      </c>
      <c r="H11" s="48">
        <v>1</v>
      </c>
      <c r="I11" s="48">
        <v>2</v>
      </c>
      <c r="J11" s="48">
        <v>7</v>
      </c>
      <c r="K11" s="48">
        <v>4</v>
      </c>
      <c r="L11" s="48">
        <v>2</v>
      </c>
      <c r="M11" s="48">
        <v>6</v>
      </c>
      <c r="N11" s="48">
        <v>2</v>
      </c>
      <c r="O11" s="48">
        <v>4</v>
      </c>
      <c r="P11" s="48">
        <v>1</v>
      </c>
      <c r="Q11" s="48">
        <v>1</v>
      </c>
      <c r="R11" s="48">
        <v>2</v>
      </c>
      <c r="S11" s="48">
        <v>6</v>
      </c>
      <c r="T11" s="48">
        <v>1</v>
      </c>
      <c r="U11" s="48">
        <v>4</v>
      </c>
      <c r="V11" s="48">
        <v>3</v>
      </c>
      <c r="W11" s="48">
        <v>3</v>
      </c>
      <c r="X11" s="48">
        <v>4</v>
      </c>
      <c r="Y11" s="48">
        <v>8</v>
      </c>
      <c r="Z11" s="48">
        <v>4</v>
      </c>
      <c r="AA11" s="48">
        <v>8</v>
      </c>
      <c r="AB11" s="48">
        <v>5</v>
      </c>
      <c r="AC11" s="48">
        <v>1</v>
      </c>
      <c r="AD11" s="48">
        <v>3</v>
      </c>
      <c r="AE11" s="48">
        <v>3</v>
      </c>
      <c r="AF11" s="48">
        <v>6</v>
      </c>
      <c r="AG11" s="48">
        <v>1</v>
      </c>
      <c r="AH11" s="48">
        <v>3</v>
      </c>
      <c r="AI11" s="48">
        <v>2</v>
      </c>
      <c r="AJ11" s="48">
        <v>1</v>
      </c>
      <c r="AK11" s="48"/>
      <c r="AL11" s="48"/>
      <c r="AM11" s="48">
        <v>1</v>
      </c>
      <c r="AN11" s="48">
        <v>2</v>
      </c>
      <c r="AO11" s="48"/>
      <c r="AP11" s="48"/>
    </row>
    <row r="12" spans="2:42" ht="11.25">
      <c r="B12" s="27">
        <v>2</v>
      </c>
      <c r="C12" s="40">
        <v>23</v>
      </c>
      <c r="D12" s="39" t="s">
        <v>684</v>
      </c>
      <c r="E12" s="218">
        <f t="shared" si="0"/>
        <v>26</v>
      </c>
      <c r="F12" s="32">
        <v>0</v>
      </c>
      <c r="G12" s="215">
        <f>C_S_G($H12:AP12,$H$9:AP$9,csg_table,E$9,F12)</f>
        <v>0.864100185528757</v>
      </c>
      <c r="H12" s="32">
        <v>4</v>
      </c>
      <c r="I12" s="32">
        <v>3</v>
      </c>
      <c r="J12" s="32">
        <v>3</v>
      </c>
      <c r="K12" s="32">
        <v>2</v>
      </c>
      <c r="L12" s="32">
        <v>4</v>
      </c>
      <c r="M12" s="32">
        <v>3</v>
      </c>
      <c r="N12" s="32"/>
      <c r="O12" s="32">
        <v>1</v>
      </c>
      <c r="P12" s="32">
        <v>4</v>
      </c>
      <c r="Q12" s="32">
        <v>2</v>
      </c>
      <c r="R12" s="32">
        <v>1</v>
      </c>
      <c r="S12" s="32">
        <v>5</v>
      </c>
      <c r="T12" s="32">
        <v>2</v>
      </c>
      <c r="U12" s="32">
        <v>7</v>
      </c>
      <c r="V12" s="32">
        <v>12</v>
      </c>
      <c r="W12" s="32">
        <v>4</v>
      </c>
      <c r="X12" s="32">
        <v>1</v>
      </c>
      <c r="Y12" s="32">
        <v>4</v>
      </c>
      <c r="Z12" s="32">
        <v>6</v>
      </c>
      <c r="AA12" s="32">
        <v>11</v>
      </c>
      <c r="AB12" s="32"/>
      <c r="AC12" s="32"/>
      <c r="AD12" s="32">
        <v>6</v>
      </c>
      <c r="AE12" s="32">
        <v>1</v>
      </c>
      <c r="AF12" s="32">
        <v>2</v>
      </c>
      <c r="AG12" s="32">
        <v>2</v>
      </c>
      <c r="AH12" s="32">
        <v>1</v>
      </c>
      <c r="AI12" s="32">
        <v>3</v>
      </c>
      <c r="AJ12" s="32">
        <v>4</v>
      </c>
      <c r="AK12" s="32"/>
      <c r="AL12" s="32"/>
      <c r="AM12" s="32"/>
      <c r="AN12" s="32"/>
      <c r="AO12" s="32"/>
      <c r="AP12" s="32"/>
    </row>
    <row r="13" spans="2:42" ht="11.25">
      <c r="B13" s="27">
        <v>3</v>
      </c>
      <c r="C13" s="40">
        <v>106</v>
      </c>
      <c r="D13" s="39" t="s">
        <v>505</v>
      </c>
      <c r="E13" s="218">
        <f t="shared" si="0"/>
        <v>19</v>
      </c>
      <c r="F13" s="32">
        <v>0</v>
      </c>
      <c r="G13" s="215">
        <f>C_S_G($H13:AP13,$H$9:AP$9,csg_table,E$9,F13)</f>
        <v>0.8382352941176471</v>
      </c>
      <c r="H13" s="32">
        <v>3</v>
      </c>
      <c r="I13" s="32">
        <v>6</v>
      </c>
      <c r="J13" s="32">
        <v>6</v>
      </c>
      <c r="K13" s="32">
        <v>3</v>
      </c>
      <c r="L13" s="32">
        <v>3</v>
      </c>
      <c r="M13" s="32">
        <v>1</v>
      </c>
      <c r="N13" s="32">
        <v>3</v>
      </c>
      <c r="O13" s="32">
        <v>5</v>
      </c>
      <c r="P13" s="32" t="s">
        <v>299</v>
      </c>
      <c r="Q13" s="32"/>
      <c r="R13" s="32"/>
      <c r="S13" s="32">
        <v>4</v>
      </c>
      <c r="T13" s="32">
        <v>7</v>
      </c>
      <c r="U13" s="32">
        <v>3</v>
      </c>
      <c r="V13" s="32">
        <v>4</v>
      </c>
      <c r="W13" s="32">
        <v>2</v>
      </c>
      <c r="X13" s="32">
        <v>10</v>
      </c>
      <c r="Y13" s="32">
        <v>2</v>
      </c>
      <c r="Z13" s="32">
        <v>5</v>
      </c>
      <c r="AA13" s="32"/>
      <c r="AB13" s="32"/>
      <c r="AC13" s="32"/>
      <c r="AD13" s="32"/>
      <c r="AE13" s="32"/>
      <c r="AF13" s="32"/>
      <c r="AG13" s="32"/>
      <c r="AH13" s="32"/>
      <c r="AI13" s="32"/>
      <c r="AJ13" s="32"/>
      <c r="AK13" s="32">
        <v>4</v>
      </c>
      <c r="AL13" s="32">
        <v>2</v>
      </c>
      <c r="AM13" s="32"/>
      <c r="AN13" s="32"/>
      <c r="AO13" s="32"/>
      <c r="AP13" s="32"/>
    </row>
    <row r="14" spans="2:42" ht="11.25">
      <c r="B14" s="27">
        <v>4</v>
      </c>
      <c r="C14" s="40">
        <v>182</v>
      </c>
      <c r="D14" s="39" t="s">
        <v>359</v>
      </c>
      <c r="E14" s="218">
        <f t="shared" si="0"/>
        <v>23</v>
      </c>
      <c r="F14" s="32">
        <v>0</v>
      </c>
      <c r="G14" s="215">
        <f>C_S_G($H14:AP14,$H$9:AP$9,csg_table,E$9,F14)</f>
        <v>0.8320935175345378</v>
      </c>
      <c r="H14" s="32">
        <v>5</v>
      </c>
      <c r="I14" s="32">
        <v>5</v>
      </c>
      <c r="J14" s="32"/>
      <c r="K14" s="32"/>
      <c r="L14" s="32"/>
      <c r="M14" s="32">
        <v>4</v>
      </c>
      <c r="N14" s="32"/>
      <c r="O14" s="32">
        <v>6</v>
      </c>
      <c r="P14" s="32">
        <v>2</v>
      </c>
      <c r="Q14" s="32"/>
      <c r="R14" s="32"/>
      <c r="S14" s="32">
        <v>9</v>
      </c>
      <c r="T14" s="32">
        <v>5</v>
      </c>
      <c r="U14" s="32">
        <v>8</v>
      </c>
      <c r="V14" s="32">
        <v>10</v>
      </c>
      <c r="W14" s="32">
        <v>11</v>
      </c>
      <c r="X14" s="32">
        <v>3</v>
      </c>
      <c r="Y14" s="32">
        <v>1</v>
      </c>
      <c r="Z14" s="32">
        <v>7</v>
      </c>
      <c r="AA14" s="32">
        <v>5</v>
      </c>
      <c r="AB14" s="32"/>
      <c r="AC14" s="32"/>
      <c r="AD14" s="32">
        <v>1</v>
      </c>
      <c r="AE14" s="32">
        <v>2</v>
      </c>
      <c r="AF14" s="32">
        <v>3</v>
      </c>
      <c r="AG14" s="32">
        <v>3</v>
      </c>
      <c r="AH14" s="32">
        <v>2</v>
      </c>
      <c r="AI14" s="32">
        <v>4</v>
      </c>
      <c r="AJ14" s="32">
        <v>2</v>
      </c>
      <c r="AK14" s="32"/>
      <c r="AL14" s="32"/>
      <c r="AM14" s="32"/>
      <c r="AN14" s="32"/>
      <c r="AO14" s="32">
        <v>3</v>
      </c>
      <c r="AP14" s="32">
        <v>2</v>
      </c>
    </row>
    <row r="15" spans="2:42" ht="11.25">
      <c r="B15" s="27">
        <v>5</v>
      </c>
      <c r="C15" s="40">
        <v>176</v>
      </c>
      <c r="D15" s="39" t="s">
        <v>527</v>
      </c>
      <c r="E15" s="218">
        <f t="shared" si="0"/>
        <v>29</v>
      </c>
      <c r="F15" s="32">
        <v>0</v>
      </c>
      <c r="G15" s="215">
        <f>C_S_G($H15:AP15,$H$9:AP$9,csg_table,E$9,F15)</f>
        <v>0.7743825868564252</v>
      </c>
      <c r="H15" s="32">
        <v>6</v>
      </c>
      <c r="I15" s="32">
        <v>10</v>
      </c>
      <c r="J15" s="32">
        <v>2</v>
      </c>
      <c r="K15" s="32">
        <v>7</v>
      </c>
      <c r="L15" s="32">
        <v>7</v>
      </c>
      <c r="M15" s="32">
        <v>8</v>
      </c>
      <c r="N15" s="32">
        <v>7</v>
      </c>
      <c r="O15" s="32">
        <v>3</v>
      </c>
      <c r="P15" s="32">
        <v>5</v>
      </c>
      <c r="Q15" s="32">
        <v>3</v>
      </c>
      <c r="R15" s="32">
        <v>3</v>
      </c>
      <c r="S15" s="32">
        <v>7</v>
      </c>
      <c r="T15" s="32">
        <v>9</v>
      </c>
      <c r="U15" s="32" t="s">
        <v>427</v>
      </c>
      <c r="V15" s="32">
        <v>5</v>
      </c>
      <c r="W15" s="32">
        <v>10</v>
      </c>
      <c r="X15" s="32">
        <v>9</v>
      </c>
      <c r="Y15" s="32">
        <v>5</v>
      </c>
      <c r="Z15" s="32">
        <v>10</v>
      </c>
      <c r="AA15" s="32">
        <v>4</v>
      </c>
      <c r="AB15" s="32">
        <v>1</v>
      </c>
      <c r="AC15" s="32">
        <v>2</v>
      </c>
      <c r="AD15" s="32">
        <v>5</v>
      </c>
      <c r="AE15" s="32">
        <v>6</v>
      </c>
      <c r="AF15" s="32">
        <v>7</v>
      </c>
      <c r="AG15" s="32">
        <v>5</v>
      </c>
      <c r="AH15" s="32">
        <v>4</v>
      </c>
      <c r="AI15" s="32">
        <v>5</v>
      </c>
      <c r="AJ15" s="32">
        <v>6</v>
      </c>
      <c r="AK15" s="32"/>
      <c r="AL15" s="32"/>
      <c r="AM15" s="32"/>
      <c r="AN15" s="32"/>
      <c r="AO15" s="32"/>
      <c r="AP15" s="32"/>
    </row>
    <row r="16" spans="2:42" ht="11.25">
      <c r="B16" s="27">
        <v>6</v>
      </c>
      <c r="C16" s="40">
        <v>142</v>
      </c>
      <c r="D16" s="39" t="s">
        <v>410</v>
      </c>
      <c r="E16" s="218">
        <f t="shared" si="0"/>
        <v>27</v>
      </c>
      <c r="F16" s="32">
        <v>0</v>
      </c>
      <c r="G16" s="215">
        <f>C_S_G($H16:AP16,$H$9:AP$9,csg_table,E$9,F16)</f>
        <v>0.766531713900135</v>
      </c>
      <c r="H16" s="32">
        <v>7</v>
      </c>
      <c r="I16" s="32">
        <v>7</v>
      </c>
      <c r="J16" s="32">
        <v>10</v>
      </c>
      <c r="K16" s="32">
        <v>8</v>
      </c>
      <c r="L16" s="32">
        <v>8</v>
      </c>
      <c r="M16" s="32"/>
      <c r="N16" s="32">
        <v>5</v>
      </c>
      <c r="O16" s="32">
        <v>7</v>
      </c>
      <c r="P16" s="32">
        <v>3</v>
      </c>
      <c r="Q16" s="32"/>
      <c r="R16" s="32"/>
      <c r="S16" s="32">
        <v>11</v>
      </c>
      <c r="T16" s="32">
        <v>8</v>
      </c>
      <c r="U16" s="32" t="s">
        <v>427</v>
      </c>
      <c r="V16" s="32">
        <v>11</v>
      </c>
      <c r="W16" s="32">
        <v>1</v>
      </c>
      <c r="X16" s="32">
        <v>17</v>
      </c>
      <c r="Y16" s="32">
        <v>12</v>
      </c>
      <c r="Z16" s="32">
        <v>13</v>
      </c>
      <c r="AA16" s="32">
        <v>10</v>
      </c>
      <c r="AB16" s="32">
        <v>7</v>
      </c>
      <c r="AC16" s="32">
        <v>4</v>
      </c>
      <c r="AD16" s="32">
        <v>2</v>
      </c>
      <c r="AE16" s="32">
        <v>4</v>
      </c>
      <c r="AF16" s="32">
        <v>1</v>
      </c>
      <c r="AG16" s="32">
        <v>4</v>
      </c>
      <c r="AH16" s="32">
        <v>5</v>
      </c>
      <c r="AI16" s="32">
        <v>1</v>
      </c>
      <c r="AJ16" s="32">
        <v>3</v>
      </c>
      <c r="AK16" s="32">
        <v>1</v>
      </c>
      <c r="AL16" s="32"/>
      <c r="AM16" s="32"/>
      <c r="AN16" s="32"/>
      <c r="AO16" s="32"/>
      <c r="AP16" s="32"/>
    </row>
    <row r="17" spans="2:42" ht="11.25">
      <c r="B17" s="27">
        <v>7</v>
      </c>
      <c r="C17" s="40">
        <v>70</v>
      </c>
      <c r="D17" s="39" t="s">
        <v>409</v>
      </c>
      <c r="E17" s="218">
        <f t="shared" si="0"/>
        <v>25</v>
      </c>
      <c r="F17" s="32">
        <v>0</v>
      </c>
      <c r="G17" s="215">
        <f>C_S_G($H17:AP17,$H$9:AP$9,csg_table,E$9,F17)</f>
        <v>0.7528901734104047</v>
      </c>
      <c r="H17" s="32">
        <v>11</v>
      </c>
      <c r="I17" s="32">
        <v>4</v>
      </c>
      <c r="J17" s="32">
        <v>8</v>
      </c>
      <c r="K17" s="32">
        <v>10</v>
      </c>
      <c r="L17" s="32">
        <v>6</v>
      </c>
      <c r="M17" s="32">
        <v>2</v>
      </c>
      <c r="N17" s="32">
        <v>6</v>
      </c>
      <c r="O17" s="32">
        <v>2</v>
      </c>
      <c r="P17" s="32">
        <v>6</v>
      </c>
      <c r="Q17" s="32">
        <v>4</v>
      </c>
      <c r="R17" s="32">
        <v>4</v>
      </c>
      <c r="S17" s="32">
        <v>12</v>
      </c>
      <c r="T17" s="32">
        <v>13</v>
      </c>
      <c r="U17" s="32">
        <v>11</v>
      </c>
      <c r="V17" s="32">
        <v>7</v>
      </c>
      <c r="W17" s="32">
        <v>9</v>
      </c>
      <c r="X17" s="32">
        <v>5</v>
      </c>
      <c r="Y17" s="32">
        <v>7</v>
      </c>
      <c r="Z17" s="32">
        <v>11</v>
      </c>
      <c r="AA17" s="32">
        <v>9</v>
      </c>
      <c r="AB17" s="32">
        <v>4</v>
      </c>
      <c r="AC17" s="32">
        <v>6</v>
      </c>
      <c r="AD17" s="32"/>
      <c r="AE17" s="32"/>
      <c r="AF17" s="32"/>
      <c r="AG17" s="32"/>
      <c r="AH17" s="32"/>
      <c r="AI17" s="32"/>
      <c r="AJ17" s="32"/>
      <c r="AK17" s="32">
        <v>3</v>
      </c>
      <c r="AL17" s="32">
        <v>3</v>
      </c>
      <c r="AM17" s="32"/>
      <c r="AN17" s="32"/>
      <c r="AO17" s="32" t="s">
        <v>299</v>
      </c>
      <c r="AP17" s="32"/>
    </row>
    <row r="18" spans="2:42" ht="11.25">
      <c r="B18" s="27">
        <v>8</v>
      </c>
      <c r="C18" s="40">
        <v>183</v>
      </c>
      <c r="D18" s="39" t="s">
        <v>418</v>
      </c>
      <c r="E18" s="218">
        <f t="shared" si="0"/>
        <v>20</v>
      </c>
      <c r="F18" s="32">
        <v>0</v>
      </c>
      <c r="G18" s="215">
        <f>C_S_G($H18:AP18,$H$9:AP$9,csg_table,E$9,F18)</f>
        <v>0.7436801881246325</v>
      </c>
      <c r="H18" s="32">
        <v>8</v>
      </c>
      <c r="I18" s="32">
        <v>9</v>
      </c>
      <c r="J18" s="32">
        <v>1</v>
      </c>
      <c r="K18" s="32">
        <v>5</v>
      </c>
      <c r="L18" s="32">
        <v>9</v>
      </c>
      <c r="M18" s="32"/>
      <c r="N18" s="32">
        <v>1</v>
      </c>
      <c r="O18" s="32"/>
      <c r="P18" s="32"/>
      <c r="Q18" s="32"/>
      <c r="R18" s="32"/>
      <c r="S18" s="32">
        <v>10</v>
      </c>
      <c r="T18" s="32">
        <v>11</v>
      </c>
      <c r="U18" s="32">
        <v>12</v>
      </c>
      <c r="V18" s="32">
        <v>6</v>
      </c>
      <c r="W18" s="32">
        <v>7</v>
      </c>
      <c r="X18" s="32">
        <v>13</v>
      </c>
      <c r="Y18" s="32">
        <v>13</v>
      </c>
      <c r="Z18" s="32">
        <v>8</v>
      </c>
      <c r="AA18" s="32"/>
      <c r="AB18" s="32"/>
      <c r="AC18" s="32"/>
      <c r="AD18" s="32">
        <v>4</v>
      </c>
      <c r="AE18" s="32">
        <v>7</v>
      </c>
      <c r="AF18" s="32">
        <v>5</v>
      </c>
      <c r="AG18" s="32">
        <v>7</v>
      </c>
      <c r="AH18" s="32">
        <v>6</v>
      </c>
      <c r="AI18" s="32">
        <v>8</v>
      </c>
      <c r="AJ18" s="32"/>
      <c r="AK18" s="32"/>
      <c r="AL18" s="32"/>
      <c r="AM18" s="32"/>
      <c r="AN18" s="32"/>
      <c r="AO18" s="32"/>
      <c r="AP18" s="32"/>
    </row>
    <row r="19" spans="2:42" ht="11.25">
      <c r="B19" s="27">
        <v>9</v>
      </c>
      <c r="C19" s="40">
        <v>197</v>
      </c>
      <c r="D19" s="39" t="s">
        <v>411</v>
      </c>
      <c r="E19" s="218">
        <f t="shared" si="0"/>
        <v>18</v>
      </c>
      <c r="F19" s="32">
        <v>0</v>
      </c>
      <c r="G19" s="215">
        <f>C_S_G($H19:AP19,$H$9:AP$9,csg_table,E$9,F19)</f>
        <v>0.7058441558441558</v>
      </c>
      <c r="H19" s="32">
        <v>9</v>
      </c>
      <c r="I19" s="32">
        <v>8</v>
      </c>
      <c r="J19" s="32">
        <v>9</v>
      </c>
      <c r="K19" s="32">
        <v>11</v>
      </c>
      <c r="L19" s="32">
        <v>10</v>
      </c>
      <c r="M19" s="32">
        <v>7</v>
      </c>
      <c r="N19" s="32"/>
      <c r="O19" s="32"/>
      <c r="P19" s="32"/>
      <c r="Q19" s="32">
        <v>5</v>
      </c>
      <c r="R19" s="32">
        <v>5</v>
      </c>
      <c r="S19" s="32">
        <v>8</v>
      </c>
      <c r="T19" s="32">
        <v>12</v>
      </c>
      <c r="U19" s="32">
        <v>10</v>
      </c>
      <c r="V19" s="32">
        <v>15</v>
      </c>
      <c r="W19" s="32"/>
      <c r="X19" s="32">
        <v>12</v>
      </c>
      <c r="Y19" s="32">
        <v>9</v>
      </c>
      <c r="Z19" s="32">
        <v>9</v>
      </c>
      <c r="AA19" s="32">
        <v>7</v>
      </c>
      <c r="AB19" s="32"/>
      <c r="AC19" s="32"/>
      <c r="AD19" s="32"/>
      <c r="AE19" s="32"/>
      <c r="AF19" s="32"/>
      <c r="AG19" s="32"/>
      <c r="AH19" s="32"/>
      <c r="AI19" s="32"/>
      <c r="AJ19" s="32"/>
      <c r="AK19" s="32"/>
      <c r="AL19" s="32"/>
      <c r="AM19" s="32"/>
      <c r="AN19" s="32"/>
      <c r="AO19" s="32">
        <v>6</v>
      </c>
      <c r="AP19" s="32">
        <v>5</v>
      </c>
    </row>
    <row r="20" spans="2:42" ht="11.25">
      <c r="B20" s="27">
        <v>10</v>
      </c>
      <c r="C20" s="40">
        <v>117</v>
      </c>
      <c r="D20" s="39" t="s">
        <v>405</v>
      </c>
      <c r="E20" s="218">
        <f t="shared" si="0"/>
        <v>27</v>
      </c>
      <c r="F20" s="32">
        <v>0</v>
      </c>
      <c r="G20" s="215">
        <f>C_S_G($H20:AP20,$H$9:AP$9,csg_table,E$9,F20)</f>
        <v>0.6900943396226416</v>
      </c>
      <c r="H20" s="32">
        <v>12</v>
      </c>
      <c r="I20" s="32">
        <v>12</v>
      </c>
      <c r="J20" s="32">
        <v>11</v>
      </c>
      <c r="K20" s="32">
        <v>9</v>
      </c>
      <c r="L20" s="32"/>
      <c r="M20" s="32">
        <v>5</v>
      </c>
      <c r="N20" s="32">
        <v>10</v>
      </c>
      <c r="O20" s="32">
        <v>10</v>
      </c>
      <c r="P20" s="32">
        <v>7</v>
      </c>
      <c r="Q20" s="32">
        <v>9</v>
      </c>
      <c r="R20" s="32">
        <v>7</v>
      </c>
      <c r="S20" s="32"/>
      <c r="T20" s="32"/>
      <c r="U20" s="32"/>
      <c r="V20" s="32">
        <v>13</v>
      </c>
      <c r="W20" s="32">
        <v>14</v>
      </c>
      <c r="X20" s="32">
        <v>15</v>
      </c>
      <c r="Y20" s="32">
        <v>15</v>
      </c>
      <c r="Z20" s="32">
        <v>12</v>
      </c>
      <c r="AA20" s="32" t="s">
        <v>299</v>
      </c>
      <c r="AB20" s="32">
        <v>2</v>
      </c>
      <c r="AC20" s="32">
        <v>5</v>
      </c>
      <c r="AD20" s="32">
        <v>7</v>
      </c>
      <c r="AE20" s="32">
        <v>5</v>
      </c>
      <c r="AF20" s="32">
        <v>4</v>
      </c>
      <c r="AG20" s="32">
        <v>6</v>
      </c>
      <c r="AH20" s="32">
        <v>7</v>
      </c>
      <c r="AI20" s="32">
        <v>6</v>
      </c>
      <c r="AJ20" s="32">
        <v>5</v>
      </c>
      <c r="AK20" s="32">
        <v>5</v>
      </c>
      <c r="AL20" s="32">
        <v>4</v>
      </c>
      <c r="AM20" s="32"/>
      <c r="AN20" s="32"/>
      <c r="AO20" s="32"/>
      <c r="AP20" s="32"/>
    </row>
    <row r="21" spans="2:42" ht="11.25">
      <c r="B21" s="27">
        <v>11</v>
      </c>
      <c r="C21" s="50">
        <v>38</v>
      </c>
      <c r="D21" s="60" t="s">
        <v>404</v>
      </c>
      <c r="E21" s="219">
        <f t="shared" si="0"/>
        <v>20</v>
      </c>
      <c r="F21" s="34">
        <v>0</v>
      </c>
      <c r="G21" s="216">
        <f>C_S_G($H21:AP21,$H$9:AP$9,csg_table,E$9,F21)</f>
        <v>0.657601977750309</v>
      </c>
      <c r="H21" s="34"/>
      <c r="I21" s="34"/>
      <c r="J21" s="34"/>
      <c r="K21" s="34"/>
      <c r="L21" s="34">
        <v>11</v>
      </c>
      <c r="M21" s="34">
        <v>10</v>
      </c>
      <c r="N21" s="34">
        <v>12</v>
      </c>
      <c r="O21" s="34">
        <v>9</v>
      </c>
      <c r="P21" s="34" t="s">
        <v>299</v>
      </c>
      <c r="Q21" s="34">
        <v>7</v>
      </c>
      <c r="R21" s="34"/>
      <c r="S21" s="34">
        <v>15</v>
      </c>
      <c r="T21" s="34">
        <v>14</v>
      </c>
      <c r="U21" s="34">
        <v>13</v>
      </c>
      <c r="V21" s="34"/>
      <c r="W21" s="34"/>
      <c r="X21" s="34">
        <v>16</v>
      </c>
      <c r="Y21" s="34">
        <v>16</v>
      </c>
      <c r="Z21" s="34"/>
      <c r="AA21" s="34">
        <v>12</v>
      </c>
      <c r="AB21" s="34">
        <v>8</v>
      </c>
      <c r="AC21" s="34">
        <v>7</v>
      </c>
      <c r="AD21" s="34"/>
      <c r="AE21" s="34"/>
      <c r="AF21" s="34"/>
      <c r="AG21" s="34"/>
      <c r="AH21" s="34">
        <v>8</v>
      </c>
      <c r="AI21" s="34">
        <v>7</v>
      </c>
      <c r="AJ21" s="34">
        <v>7</v>
      </c>
      <c r="AK21" s="34" t="s">
        <v>299</v>
      </c>
      <c r="AL21" s="34"/>
      <c r="AM21" s="34"/>
      <c r="AN21" s="34"/>
      <c r="AO21" s="34">
        <v>5</v>
      </c>
      <c r="AP21" s="34" t="s">
        <v>299</v>
      </c>
    </row>
    <row r="22" spans="3:42" ht="11.25">
      <c r="C22" s="40">
        <v>239</v>
      </c>
      <c r="D22" s="39" t="s">
        <v>661</v>
      </c>
      <c r="E22" s="218">
        <f t="shared" si="0"/>
        <v>2</v>
      </c>
      <c r="F22" s="32">
        <v>0</v>
      </c>
      <c r="G22" s="215">
        <f>C_S_G($H22:AP22,$H$9:AP$9,csg_table,E$9,F22)</f>
        <v>1</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v>1</v>
      </c>
      <c r="AP22" s="32">
        <v>1</v>
      </c>
    </row>
    <row r="23" spans="3:42" ht="11.25">
      <c r="C23" s="40">
        <v>231</v>
      </c>
      <c r="D23" s="39" t="s">
        <v>419</v>
      </c>
      <c r="E23" s="218">
        <f t="shared" si="0"/>
        <v>16</v>
      </c>
      <c r="F23" s="32">
        <v>0</v>
      </c>
      <c r="G23" s="215">
        <f>C_S_G($H23:AP23,$H$9:AP$9,csg_table,E$9,F23)</f>
        <v>0.8872</v>
      </c>
      <c r="H23" s="32"/>
      <c r="I23" s="32"/>
      <c r="J23" s="32"/>
      <c r="K23" s="32"/>
      <c r="L23" s="32">
        <v>1</v>
      </c>
      <c r="M23" s="32"/>
      <c r="N23" s="32">
        <v>8</v>
      </c>
      <c r="O23" s="32"/>
      <c r="P23" s="32"/>
      <c r="Q23" s="32"/>
      <c r="R23" s="32"/>
      <c r="S23" s="32">
        <v>1</v>
      </c>
      <c r="T23" s="32">
        <v>6</v>
      </c>
      <c r="U23" s="32">
        <v>2</v>
      </c>
      <c r="V23" s="32">
        <v>2</v>
      </c>
      <c r="W23" s="32">
        <v>5</v>
      </c>
      <c r="X23" s="32">
        <v>2</v>
      </c>
      <c r="Y23" s="32">
        <v>3</v>
      </c>
      <c r="Z23" s="32">
        <v>2</v>
      </c>
      <c r="AA23" s="32">
        <v>6</v>
      </c>
      <c r="AB23" s="32"/>
      <c r="AC23" s="32"/>
      <c r="AD23" s="32"/>
      <c r="AE23" s="32"/>
      <c r="AF23" s="32"/>
      <c r="AG23" s="32" t="s">
        <v>191</v>
      </c>
      <c r="AH23" s="32"/>
      <c r="AI23" s="32"/>
      <c r="AJ23" s="32"/>
      <c r="AK23" s="32"/>
      <c r="AL23" s="32"/>
      <c r="AM23" s="32">
        <v>2</v>
      </c>
      <c r="AN23" s="32">
        <v>1</v>
      </c>
      <c r="AO23" s="32">
        <v>2</v>
      </c>
      <c r="AP23" s="32">
        <v>4</v>
      </c>
    </row>
    <row r="24" spans="3:42" ht="11.25">
      <c r="C24" s="40">
        <v>49</v>
      </c>
      <c r="D24" s="39" t="s">
        <v>526</v>
      </c>
      <c r="E24" s="218">
        <f t="shared" si="0"/>
        <v>14</v>
      </c>
      <c r="F24" s="32">
        <v>0</v>
      </c>
      <c r="G24" s="215">
        <f>C_S_G($H24:AP24,$H$9:AP$9,csg_table,E$9,F24)</f>
        <v>0.846875</v>
      </c>
      <c r="H24" s="32">
        <v>2</v>
      </c>
      <c r="I24" s="32">
        <v>1</v>
      </c>
      <c r="J24" s="32">
        <v>4</v>
      </c>
      <c r="K24" s="32">
        <v>1</v>
      </c>
      <c r="L24" s="32">
        <v>5</v>
      </c>
      <c r="M24" s="32"/>
      <c r="N24" s="32">
        <v>4</v>
      </c>
      <c r="O24" s="32"/>
      <c r="P24" s="32"/>
      <c r="Q24" s="32"/>
      <c r="R24" s="32"/>
      <c r="S24" s="32">
        <v>2</v>
      </c>
      <c r="T24" s="32" t="s">
        <v>427</v>
      </c>
      <c r="U24" s="32">
        <v>6</v>
      </c>
      <c r="V24" s="32">
        <v>1</v>
      </c>
      <c r="W24" s="32" t="s">
        <v>517</v>
      </c>
      <c r="X24" s="32">
        <v>8</v>
      </c>
      <c r="Y24" s="32">
        <v>6</v>
      </c>
      <c r="Z24" s="32"/>
      <c r="AA24" s="32">
        <v>1</v>
      </c>
      <c r="AB24" s="32"/>
      <c r="AC24" s="32"/>
      <c r="AD24" s="32"/>
      <c r="AE24" s="32"/>
      <c r="AF24" s="32"/>
      <c r="AG24" s="32"/>
      <c r="AH24" s="32"/>
      <c r="AI24" s="32"/>
      <c r="AJ24" s="32"/>
      <c r="AK24" s="32"/>
      <c r="AL24" s="32"/>
      <c r="AM24" s="32"/>
      <c r="AN24" s="32"/>
      <c r="AO24" s="32"/>
      <c r="AP24" s="32"/>
    </row>
    <row r="25" spans="3:42" ht="11.25">
      <c r="C25" s="40">
        <v>221</v>
      </c>
      <c r="D25" s="39" t="s">
        <v>407</v>
      </c>
      <c r="E25" s="218">
        <f t="shared" si="0"/>
        <v>15</v>
      </c>
      <c r="F25" s="32">
        <v>0</v>
      </c>
      <c r="G25" s="215">
        <f>C_S_G($H25:AP25,$H$9:AP$9,csg_table,E$9,F25)</f>
        <v>0.835043409629045</v>
      </c>
      <c r="H25" s="32"/>
      <c r="I25" s="32"/>
      <c r="J25" s="32">
        <v>5</v>
      </c>
      <c r="K25" s="32">
        <v>6</v>
      </c>
      <c r="L25" s="32"/>
      <c r="M25" s="32"/>
      <c r="N25" s="32"/>
      <c r="O25" s="32"/>
      <c r="P25" s="32"/>
      <c r="Q25" s="32"/>
      <c r="R25" s="32"/>
      <c r="S25" s="32">
        <v>3</v>
      </c>
      <c r="T25" s="32">
        <v>3</v>
      </c>
      <c r="U25" s="32">
        <v>5</v>
      </c>
      <c r="V25" s="32">
        <v>14</v>
      </c>
      <c r="W25" s="32">
        <v>6</v>
      </c>
      <c r="X25" s="32">
        <v>6</v>
      </c>
      <c r="Y25" s="32">
        <v>10</v>
      </c>
      <c r="Z25" s="32">
        <v>1</v>
      </c>
      <c r="AA25" s="32">
        <v>2</v>
      </c>
      <c r="AB25" s="32">
        <v>3</v>
      </c>
      <c r="AC25" s="32">
        <v>3</v>
      </c>
      <c r="AD25" s="32"/>
      <c r="AE25" s="32"/>
      <c r="AF25" s="32"/>
      <c r="AG25" s="32"/>
      <c r="AH25" s="32"/>
      <c r="AI25" s="32"/>
      <c r="AJ25" s="32"/>
      <c r="AK25" s="32">
        <v>2</v>
      </c>
      <c r="AL25" s="32">
        <v>1</v>
      </c>
      <c r="AM25" s="32"/>
      <c r="AN25" s="32"/>
      <c r="AO25" s="32"/>
      <c r="AP25" s="32"/>
    </row>
    <row r="26" spans="3:42" ht="11.25">
      <c r="C26" s="40">
        <v>26</v>
      </c>
      <c r="D26" s="39" t="s">
        <v>413</v>
      </c>
      <c r="E26" s="218">
        <f t="shared" si="0"/>
        <v>7</v>
      </c>
      <c r="F26" s="32">
        <v>0</v>
      </c>
      <c r="G26" s="215">
        <f>C_S_G($H26:AP26,$H$9:AP$9,csg_table,E$9,F26)</f>
        <v>0.7912912912912913</v>
      </c>
      <c r="H26" s="32"/>
      <c r="I26" s="32"/>
      <c r="J26" s="32"/>
      <c r="K26" s="32"/>
      <c r="L26" s="32"/>
      <c r="M26" s="32"/>
      <c r="N26" s="32"/>
      <c r="O26" s="32"/>
      <c r="P26" s="32"/>
      <c r="Q26" s="32"/>
      <c r="R26" s="32"/>
      <c r="S26" s="32">
        <v>14</v>
      </c>
      <c r="T26" s="32">
        <v>4</v>
      </c>
      <c r="U26" s="32">
        <v>1</v>
      </c>
      <c r="V26" s="32">
        <v>8</v>
      </c>
      <c r="W26" s="32">
        <v>13</v>
      </c>
      <c r="X26" s="32">
        <v>7</v>
      </c>
      <c r="Y26" s="32"/>
      <c r="Z26" s="32">
        <v>3</v>
      </c>
      <c r="AA26" s="32"/>
      <c r="AB26" s="32"/>
      <c r="AC26" s="32"/>
      <c r="AD26" s="32"/>
      <c r="AE26" s="32"/>
      <c r="AF26" s="32"/>
      <c r="AG26" s="32"/>
      <c r="AH26" s="32"/>
      <c r="AI26" s="32"/>
      <c r="AJ26" s="32"/>
      <c r="AK26" s="32"/>
      <c r="AL26" s="32"/>
      <c r="AM26" s="32"/>
      <c r="AN26" s="32"/>
      <c r="AO26" s="32"/>
      <c r="AP26" s="32"/>
    </row>
    <row r="27" spans="3:42" ht="11.25">
      <c r="C27" s="40">
        <v>41</v>
      </c>
      <c r="D27" s="39" t="s">
        <v>417</v>
      </c>
      <c r="E27" s="218">
        <f t="shared" si="0"/>
        <v>17</v>
      </c>
      <c r="F27" s="32">
        <v>0</v>
      </c>
      <c r="G27" s="215">
        <f>C_S_G($H27:AP27,$H$9:AP$9,csg_table,E$9,F27)</f>
        <v>0.7100346020761246</v>
      </c>
      <c r="H27" s="32"/>
      <c r="I27" s="32"/>
      <c r="J27" s="32"/>
      <c r="K27" s="32"/>
      <c r="L27" s="32"/>
      <c r="M27" s="32"/>
      <c r="N27" s="32">
        <v>9</v>
      </c>
      <c r="O27" s="32">
        <v>8</v>
      </c>
      <c r="P27" s="32">
        <v>8</v>
      </c>
      <c r="Q27" s="32">
        <v>8</v>
      </c>
      <c r="R27" s="32"/>
      <c r="S27" s="32">
        <v>13</v>
      </c>
      <c r="T27" s="32">
        <v>10</v>
      </c>
      <c r="U27" s="32">
        <v>9</v>
      </c>
      <c r="V27" s="32">
        <v>9</v>
      </c>
      <c r="W27" s="32">
        <v>8</v>
      </c>
      <c r="X27" s="32">
        <v>14</v>
      </c>
      <c r="Y27" s="32">
        <v>14</v>
      </c>
      <c r="Z27" s="32">
        <v>14</v>
      </c>
      <c r="AA27" s="32">
        <v>3</v>
      </c>
      <c r="AB27" s="32">
        <v>6</v>
      </c>
      <c r="AC27" s="32">
        <v>8</v>
      </c>
      <c r="AD27" s="32"/>
      <c r="AE27" s="32"/>
      <c r="AF27" s="32"/>
      <c r="AG27" s="32"/>
      <c r="AH27" s="32"/>
      <c r="AI27" s="32"/>
      <c r="AJ27" s="32"/>
      <c r="AK27" s="32"/>
      <c r="AL27" s="32"/>
      <c r="AM27" s="32"/>
      <c r="AN27" s="32"/>
      <c r="AO27" s="32">
        <v>4</v>
      </c>
      <c r="AP27" s="32">
        <v>3</v>
      </c>
    </row>
    <row r="28" spans="3:42" ht="11.25">
      <c r="C28" s="40">
        <v>5</v>
      </c>
      <c r="D28" s="39" t="s">
        <v>408</v>
      </c>
      <c r="E28" s="218">
        <f t="shared" si="0"/>
        <v>9</v>
      </c>
      <c r="F28" s="32">
        <v>0</v>
      </c>
      <c r="G28" s="215">
        <f>C_S_G($H28:AP28,$H$9:AP$9,csg_table,E$9,F28)</f>
        <v>0.6689655172413793</v>
      </c>
      <c r="H28" s="32">
        <v>10</v>
      </c>
      <c r="I28" s="32">
        <v>11</v>
      </c>
      <c r="J28" s="32"/>
      <c r="K28" s="32"/>
      <c r="L28" s="32">
        <v>12</v>
      </c>
      <c r="M28" s="32">
        <v>11</v>
      </c>
      <c r="N28" s="32">
        <v>11</v>
      </c>
      <c r="O28" s="32"/>
      <c r="P28" s="32"/>
      <c r="Q28" s="32">
        <v>6</v>
      </c>
      <c r="R28" s="32">
        <v>6</v>
      </c>
      <c r="S28" s="32"/>
      <c r="T28" s="32"/>
      <c r="U28" s="32"/>
      <c r="V28" s="32"/>
      <c r="W28" s="32"/>
      <c r="X28" s="32"/>
      <c r="Y28" s="32"/>
      <c r="Z28" s="32"/>
      <c r="AA28" s="32"/>
      <c r="AB28" s="32"/>
      <c r="AC28" s="32"/>
      <c r="AD28" s="32">
        <v>8</v>
      </c>
      <c r="AE28" s="32" t="s">
        <v>299</v>
      </c>
      <c r="AF28" s="32"/>
      <c r="AG28" s="32"/>
      <c r="AH28" s="32"/>
      <c r="AI28" s="32"/>
      <c r="AJ28" s="32"/>
      <c r="AK28" s="32"/>
      <c r="AL28" s="32"/>
      <c r="AM28" s="32"/>
      <c r="AN28" s="32"/>
      <c r="AO28" s="32"/>
      <c r="AP28" s="32"/>
    </row>
    <row r="29" spans="3:42" ht="11.25">
      <c r="C29" s="40">
        <v>83</v>
      </c>
      <c r="D29" s="39" t="s">
        <v>519</v>
      </c>
      <c r="E29" s="218">
        <f t="shared" si="0"/>
        <v>4</v>
      </c>
      <c r="F29" s="32">
        <v>0</v>
      </c>
      <c r="G29" s="215">
        <f>C_S_G($H29:AP29,$H$9:AP$9,csg_table,E$9,F29)</f>
        <v>0.6658031088082902</v>
      </c>
      <c r="H29" s="32"/>
      <c r="I29" s="32"/>
      <c r="J29" s="32"/>
      <c r="K29" s="32"/>
      <c r="L29" s="32"/>
      <c r="M29" s="32"/>
      <c r="N29" s="32"/>
      <c r="O29" s="32"/>
      <c r="P29" s="32"/>
      <c r="Q29" s="32"/>
      <c r="R29" s="32"/>
      <c r="S29" s="32"/>
      <c r="T29" s="32"/>
      <c r="U29" s="32"/>
      <c r="V29" s="32">
        <v>16</v>
      </c>
      <c r="W29" s="32">
        <v>12</v>
      </c>
      <c r="X29" s="32">
        <v>11</v>
      </c>
      <c r="Y29" s="32">
        <v>11</v>
      </c>
      <c r="Z29" s="32"/>
      <c r="AA29" s="32"/>
      <c r="AB29" s="32"/>
      <c r="AC29" s="32"/>
      <c r="AD29" s="32"/>
      <c r="AE29" s="32"/>
      <c r="AF29" s="32"/>
      <c r="AG29" s="32"/>
      <c r="AH29" s="32"/>
      <c r="AI29" s="32"/>
      <c r="AJ29" s="32"/>
      <c r="AK29" s="32"/>
      <c r="AL29" s="32"/>
      <c r="AM29" s="32"/>
      <c r="AN29" s="32"/>
      <c r="AO29" s="32"/>
      <c r="AP29" s="32"/>
    </row>
    <row r="30" spans="3:42" ht="11.25">
      <c r="C30" s="50">
        <v>16</v>
      </c>
      <c r="D30" s="60" t="s">
        <v>416</v>
      </c>
      <c r="E30" s="219">
        <f t="shared" si="0"/>
        <v>5</v>
      </c>
      <c r="F30" s="34">
        <v>0</v>
      </c>
      <c r="G30" s="216">
        <f>C_S_G($H30:AP30,$H$9:AP$9,csg_table,E$9,F30)</f>
        <v>0.6306695464362851</v>
      </c>
      <c r="H30" s="34"/>
      <c r="I30" s="34"/>
      <c r="J30" s="34"/>
      <c r="K30" s="34"/>
      <c r="L30" s="34">
        <v>13</v>
      </c>
      <c r="M30" s="34">
        <v>9</v>
      </c>
      <c r="N30" s="34"/>
      <c r="O30" s="34"/>
      <c r="P30" s="34"/>
      <c r="Q30" s="34"/>
      <c r="R30" s="34"/>
      <c r="S30" s="34"/>
      <c r="T30" s="34"/>
      <c r="U30" s="34"/>
      <c r="V30" s="34">
        <v>17</v>
      </c>
      <c r="W30" s="34">
        <v>15</v>
      </c>
      <c r="X30" s="34"/>
      <c r="Y30" s="34"/>
      <c r="Z30" s="34" t="s">
        <v>299</v>
      </c>
      <c r="AA30" s="34"/>
      <c r="AB30" s="34"/>
      <c r="AC30" s="34"/>
      <c r="AD30" s="34"/>
      <c r="AE30" s="34"/>
      <c r="AF30" s="34"/>
      <c r="AG30" s="34"/>
      <c r="AH30" s="34"/>
      <c r="AI30" s="34"/>
      <c r="AJ30" s="34"/>
      <c r="AK30" s="34"/>
      <c r="AL30" s="34"/>
      <c r="AM30" s="34"/>
      <c r="AN30" s="34"/>
      <c r="AO30" s="34"/>
      <c r="AP30" s="34"/>
    </row>
    <row r="31" ht="11.25">
      <c r="N31" s="27" t="s">
        <v>191</v>
      </c>
    </row>
    <row r="32" ht="11.25">
      <c r="D32" s="27" t="s">
        <v>733</v>
      </c>
    </row>
    <row r="33" ht="11.25">
      <c r="D33" s="27" t="s">
        <v>739</v>
      </c>
    </row>
    <row r="34" ht="11.25">
      <c r="D34" s="136" t="s">
        <v>740</v>
      </c>
    </row>
    <row r="35" ht="11.25">
      <c r="D35" s="27" t="s">
        <v>734</v>
      </c>
    </row>
    <row r="36" ht="11.25">
      <c r="D36" s="27" t="s">
        <v>735</v>
      </c>
    </row>
    <row r="37" ht="11.25">
      <c r="D37" s="27" t="s">
        <v>736</v>
      </c>
    </row>
  </sheetData>
  <sheetProtection/>
  <mergeCells count="8">
    <mergeCell ref="AD5:AJ5"/>
    <mergeCell ref="AK5:AL5"/>
    <mergeCell ref="AM5:AN5"/>
    <mergeCell ref="AO5:AP5"/>
    <mergeCell ref="H5:K5"/>
    <mergeCell ref="O5:R5"/>
    <mergeCell ref="S5:Z5"/>
    <mergeCell ref="AB5:AC5"/>
  </mergeCell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codeName="Sheet26"/>
  <dimension ref="A1:X31"/>
  <sheetViews>
    <sheetView zoomScalePageLayoutView="0" workbookViewId="0" topLeftCell="A1">
      <selection activeCell="B32" sqref="B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1" ht="11.25">
      <c r="A1" s="27" t="s">
        <v>191</v>
      </c>
    </row>
    <row r="2" ht="11.25">
      <c r="D2" s="23" t="s">
        <v>500</v>
      </c>
    </row>
    <row r="4" spans="4:24" ht="11.25">
      <c r="D4" s="191"/>
      <c r="H4" s="375" t="s">
        <v>309</v>
      </c>
      <c r="I4" s="376"/>
      <c r="J4" s="376"/>
      <c r="K4" s="377"/>
      <c r="L4" s="376" t="s">
        <v>314</v>
      </c>
      <c r="M4" s="376"/>
      <c r="N4" s="376"/>
      <c r="O4" s="377"/>
      <c r="P4" s="375" t="s">
        <v>548</v>
      </c>
      <c r="Q4" s="376"/>
      <c r="R4" s="376"/>
      <c r="S4" s="376"/>
      <c r="T4" s="376"/>
      <c r="U4" s="376"/>
      <c r="V4" s="377"/>
      <c r="W4" s="375" t="s">
        <v>660</v>
      </c>
      <c r="X4" s="377"/>
    </row>
    <row r="5" spans="3:24" ht="11.25">
      <c r="C5" s="37"/>
      <c r="D5" s="126"/>
      <c r="E5" s="105"/>
      <c r="F5" s="115"/>
      <c r="G5" s="116" t="s">
        <v>184</v>
      </c>
      <c r="H5" s="62" t="s">
        <v>295</v>
      </c>
      <c r="I5" s="41" t="s">
        <v>295</v>
      </c>
      <c r="J5" s="41" t="s">
        <v>295</v>
      </c>
      <c r="K5" s="41" t="s">
        <v>430</v>
      </c>
      <c r="L5" s="41"/>
      <c r="M5" s="41"/>
      <c r="N5" s="41"/>
      <c r="O5" s="41"/>
      <c r="P5" s="41" t="s">
        <v>295</v>
      </c>
      <c r="Q5" s="41" t="s">
        <v>295</v>
      </c>
      <c r="R5" s="41" t="s">
        <v>295</v>
      </c>
      <c r="S5" s="41" t="s">
        <v>295</v>
      </c>
      <c r="T5" s="41" t="s">
        <v>295</v>
      </c>
      <c r="U5" s="41" t="s">
        <v>295</v>
      </c>
      <c r="V5" s="41" t="s">
        <v>295</v>
      </c>
      <c r="W5" s="41"/>
      <c r="X5" s="41"/>
    </row>
    <row r="6" spans="3:24" ht="11.25">
      <c r="C6" s="39"/>
      <c r="D6" s="63"/>
      <c r="E6" s="56"/>
      <c r="F6" s="117"/>
      <c r="G6" s="118" t="s">
        <v>185</v>
      </c>
      <c r="H6" s="112">
        <v>190</v>
      </c>
      <c r="I6" s="42">
        <v>190</v>
      </c>
      <c r="J6" s="42">
        <v>330</v>
      </c>
      <c r="K6" s="42">
        <v>330</v>
      </c>
      <c r="L6" s="41"/>
      <c r="M6" s="41"/>
      <c r="N6" s="41"/>
      <c r="O6" s="41"/>
      <c r="P6" s="41">
        <v>175</v>
      </c>
      <c r="Q6" s="41">
        <v>175</v>
      </c>
      <c r="R6" s="41">
        <v>175</v>
      </c>
      <c r="S6" s="41">
        <v>175</v>
      </c>
      <c r="T6" s="41">
        <v>175</v>
      </c>
      <c r="U6" s="41">
        <v>175</v>
      </c>
      <c r="V6" s="41">
        <v>175</v>
      </c>
      <c r="W6" s="41"/>
      <c r="X6" s="41"/>
    </row>
    <row r="7" spans="3:24" ht="11.25">
      <c r="C7" s="39"/>
      <c r="D7" s="63"/>
      <c r="E7" s="56"/>
      <c r="F7" s="117"/>
      <c r="G7" s="118" t="s">
        <v>186</v>
      </c>
      <c r="H7" s="62">
        <v>12</v>
      </c>
      <c r="I7" s="41">
        <v>20</v>
      </c>
      <c r="J7" s="44" t="s">
        <v>363</v>
      </c>
      <c r="K7" s="43" t="s">
        <v>362</v>
      </c>
      <c r="L7" s="43"/>
      <c r="M7" s="43"/>
      <c r="N7" s="43"/>
      <c r="O7" s="43"/>
      <c r="P7" s="43">
        <v>15</v>
      </c>
      <c r="Q7" s="43">
        <v>15</v>
      </c>
      <c r="R7" s="43">
        <v>15</v>
      </c>
      <c r="S7" s="43">
        <v>15</v>
      </c>
      <c r="T7" s="43">
        <v>10</v>
      </c>
      <c r="U7" s="43">
        <v>8</v>
      </c>
      <c r="V7" s="43">
        <v>5</v>
      </c>
      <c r="W7" s="43"/>
      <c r="X7" s="43"/>
    </row>
    <row r="8" spans="3:24" ht="11.25">
      <c r="C8" s="60"/>
      <c r="D8" s="127"/>
      <c r="E8" s="56">
        <f>COUNTIF($H8:X8,"&gt;0")</f>
        <v>17</v>
      </c>
      <c r="F8" s="119"/>
      <c r="G8" s="120" t="s">
        <v>187</v>
      </c>
      <c r="H8" s="62">
        <v>12</v>
      </c>
      <c r="I8" s="41">
        <v>12</v>
      </c>
      <c r="J8" s="41">
        <v>11</v>
      </c>
      <c r="K8" s="41">
        <v>11</v>
      </c>
      <c r="L8" s="41">
        <v>10</v>
      </c>
      <c r="M8" s="41">
        <v>10</v>
      </c>
      <c r="N8" s="41">
        <v>9</v>
      </c>
      <c r="O8" s="41">
        <v>7</v>
      </c>
      <c r="P8" s="41">
        <v>8</v>
      </c>
      <c r="Q8" s="41">
        <v>8</v>
      </c>
      <c r="R8" s="41">
        <v>7</v>
      </c>
      <c r="S8" s="41">
        <v>7</v>
      </c>
      <c r="T8" s="41">
        <v>8</v>
      </c>
      <c r="U8" s="41">
        <v>8</v>
      </c>
      <c r="V8" s="41">
        <v>7</v>
      </c>
      <c r="W8" s="41">
        <v>7</v>
      </c>
      <c r="X8" s="41">
        <v>6</v>
      </c>
    </row>
    <row r="9" spans="3:24" ht="37.5">
      <c r="C9" s="41" t="s">
        <v>451</v>
      </c>
      <c r="D9" s="124" t="s">
        <v>422</v>
      </c>
      <c r="E9" s="36" t="s">
        <v>188</v>
      </c>
      <c r="F9" s="149" t="s">
        <v>189</v>
      </c>
      <c r="G9" s="151" t="s">
        <v>190</v>
      </c>
      <c r="H9" s="36">
        <v>38135</v>
      </c>
      <c r="I9" s="36">
        <v>38135</v>
      </c>
      <c r="J9" s="36">
        <v>38136</v>
      </c>
      <c r="K9" s="36">
        <v>38136</v>
      </c>
      <c r="L9" s="36">
        <v>38170</v>
      </c>
      <c r="M9" s="36">
        <v>38170</v>
      </c>
      <c r="N9" s="36">
        <v>38171</v>
      </c>
      <c r="O9" s="36">
        <v>38171</v>
      </c>
      <c r="P9" s="36">
        <v>38226</v>
      </c>
      <c r="Q9" s="36">
        <v>38226</v>
      </c>
      <c r="R9" s="36">
        <v>38226</v>
      </c>
      <c r="S9" s="36">
        <v>38226</v>
      </c>
      <c r="T9" s="36">
        <v>38227</v>
      </c>
      <c r="U9" s="36">
        <v>38227</v>
      </c>
      <c r="V9" s="36">
        <v>38227</v>
      </c>
      <c r="W9" s="36">
        <v>38269</v>
      </c>
      <c r="X9" s="36">
        <v>38269</v>
      </c>
    </row>
    <row r="10" spans="2:24" ht="11.25">
      <c r="B10" s="27">
        <v>1</v>
      </c>
      <c r="C10" s="38">
        <v>23</v>
      </c>
      <c r="D10" s="37" t="s">
        <v>684</v>
      </c>
      <c r="E10" s="212">
        <f aca="true" t="shared" si="0" ref="E10:E26">COUNTA(H10:X10)</f>
        <v>15</v>
      </c>
      <c r="F10" s="48">
        <v>0</v>
      </c>
      <c r="G10" s="214">
        <f>C_S_G($H10:X10,$H$8:X$8,csg_table,E$8,F10)</f>
        <v>0.8991150442477877</v>
      </c>
      <c r="H10" s="48">
        <v>4</v>
      </c>
      <c r="I10" s="48">
        <v>3</v>
      </c>
      <c r="J10" s="48">
        <v>3</v>
      </c>
      <c r="K10" s="48">
        <v>2</v>
      </c>
      <c r="L10" s="48">
        <v>1</v>
      </c>
      <c r="M10" s="48">
        <v>4</v>
      </c>
      <c r="N10" s="48">
        <v>2</v>
      </c>
      <c r="O10" s="48">
        <v>1</v>
      </c>
      <c r="P10" s="48">
        <v>6</v>
      </c>
      <c r="Q10" s="48">
        <v>1</v>
      </c>
      <c r="R10" s="48">
        <v>2</v>
      </c>
      <c r="S10" s="48">
        <v>2</v>
      </c>
      <c r="T10" s="48">
        <v>1</v>
      </c>
      <c r="U10" s="48">
        <v>3</v>
      </c>
      <c r="V10" s="48">
        <v>4</v>
      </c>
      <c r="W10" s="48"/>
      <c r="X10" s="48"/>
    </row>
    <row r="11" spans="2:24" ht="11.25">
      <c r="B11" s="27">
        <v>2</v>
      </c>
      <c r="C11" s="40">
        <v>25</v>
      </c>
      <c r="D11" s="39" t="s">
        <v>357</v>
      </c>
      <c r="E11" s="69">
        <f t="shared" si="0"/>
        <v>15</v>
      </c>
      <c r="F11" s="32">
        <v>0</v>
      </c>
      <c r="G11" s="215">
        <f>C_S_G($H11:X11,$H$8:X$8,csg_table,E$8,F11)</f>
        <v>0.8973451327433628</v>
      </c>
      <c r="H11" s="32">
        <v>1</v>
      </c>
      <c r="I11" s="32">
        <v>2</v>
      </c>
      <c r="J11" s="32">
        <v>7</v>
      </c>
      <c r="K11" s="32">
        <v>4</v>
      </c>
      <c r="L11" s="32">
        <v>4</v>
      </c>
      <c r="M11" s="32">
        <v>1</v>
      </c>
      <c r="N11" s="32">
        <v>1</v>
      </c>
      <c r="O11" s="32">
        <v>2</v>
      </c>
      <c r="P11" s="32">
        <v>3</v>
      </c>
      <c r="Q11" s="32">
        <v>3</v>
      </c>
      <c r="R11" s="32">
        <v>6</v>
      </c>
      <c r="S11" s="32">
        <v>1</v>
      </c>
      <c r="T11" s="32">
        <v>3</v>
      </c>
      <c r="U11" s="32">
        <v>2</v>
      </c>
      <c r="V11" s="32">
        <v>1</v>
      </c>
      <c r="W11" s="32"/>
      <c r="X11" s="32"/>
    </row>
    <row r="12" spans="2:24" ht="11.25">
      <c r="B12" s="27">
        <v>3</v>
      </c>
      <c r="C12" s="40">
        <v>182</v>
      </c>
      <c r="D12" s="39" t="s">
        <v>359</v>
      </c>
      <c r="E12" s="69">
        <f t="shared" si="0"/>
        <v>13</v>
      </c>
      <c r="F12" s="32">
        <v>0</v>
      </c>
      <c r="G12" s="215">
        <f>C_S_G($H12:X12,$H$8:X$8,csg_table,E$8,F12)</f>
        <v>0.864693446088795</v>
      </c>
      <c r="H12" s="32">
        <v>5</v>
      </c>
      <c r="I12" s="32">
        <v>5</v>
      </c>
      <c r="J12" s="32"/>
      <c r="K12" s="32"/>
      <c r="L12" s="32">
        <v>6</v>
      </c>
      <c r="M12" s="32">
        <v>2</v>
      </c>
      <c r="N12" s="32"/>
      <c r="O12" s="32"/>
      <c r="P12" s="32">
        <v>1</v>
      </c>
      <c r="Q12" s="32">
        <v>2</v>
      </c>
      <c r="R12" s="32">
        <v>3</v>
      </c>
      <c r="S12" s="32">
        <v>3</v>
      </c>
      <c r="T12" s="32">
        <v>2</v>
      </c>
      <c r="U12" s="32">
        <v>4</v>
      </c>
      <c r="V12" s="32">
        <v>2</v>
      </c>
      <c r="W12" s="32">
        <v>3</v>
      </c>
      <c r="X12" s="32">
        <v>2</v>
      </c>
    </row>
    <row r="13" spans="2:24" ht="11.25">
      <c r="B13" s="27">
        <v>4</v>
      </c>
      <c r="C13" s="40">
        <v>142</v>
      </c>
      <c r="D13" s="39" t="s">
        <v>410</v>
      </c>
      <c r="E13" s="69">
        <f t="shared" si="0"/>
        <v>13</v>
      </c>
      <c r="F13" s="32">
        <v>0</v>
      </c>
      <c r="G13" s="215">
        <f>C_S_G($H13:X13,$H$8:X$8,csg_table,E$8,F13)</f>
        <v>0.8087044534412956</v>
      </c>
      <c r="H13" s="32">
        <v>7</v>
      </c>
      <c r="I13" s="32">
        <v>7</v>
      </c>
      <c r="J13" s="32">
        <v>10</v>
      </c>
      <c r="K13" s="32">
        <v>8</v>
      </c>
      <c r="L13" s="32">
        <v>7</v>
      </c>
      <c r="M13" s="32">
        <v>3</v>
      </c>
      <c r="N13" s="32"/>
      <c r="O13" s="32"/>
      <c r="P13" s="32">
        <v>2</v>
      </c>
      <c r="Q13" s="32">
        <v>4</v>
      </c>
      <c r="R13" s="32">
        <v>1</v>
      </c>
      <c r="S13" s="32">
        <v>4</v>
      </c>
      <c r="T13" s="32">
        <v>5</v>
      </c>
      <c r="U13" s="32">
        <v>1</v>
      </c>
      <c r="V13" s="32">
        <v>3</v>
      </c>
      <c r="W13" s="32"/>
      <c r="X13" s="32"/>
    </row>
    <row r="14" spans="2:24" ht="11.25">
      <c r="B14" s="27">
        <v>5</v>
      </c>
      <c r="C14" s="40">
        <v>176</v>
      </c>
      <c r="D14" s="39" t="s">
        <v>527</v>
      </c>
      <c r="E14" s="69">
        <f t="shared" si="0"/>
        <v>15</v>
      </c>
      <c r="F14" s="32">
        <v>0</v>
      </c>
      <c r="G14" s="215">
        <f>C_S_G($H14:X14,$H$8:X$8,csg_table,E$8,F14)</f>
        <v>0.7787610619469026</v>
      </c>
      <c r="H14" s="32">
        <v>6</v>
      </c>
      <c r="I14" s="32">
        <v>10</v>
      </c>
      <c r="J14" s="32">
        <v>2</v>
      </c>
      <c r="K14" s="32">
        <v>7</v>
      </c>
      <c r="L14" s="32">
        <v>3</v>
      </c>
      <c r="M14" s="32">
        <v>5</v>
      </c>
      <c r="N14" s="32">
        <v>3</v>
      </c>
      <c r="O14" s="32">
        <v>3</v>
      </c>
      <c r="P14" s="32">
        <v>5</v>
      </c>
      <c r="Q14" s="32">
        <v>6</v>
      </c>
      <c r="R14" s="32">
        <v>7</v>
      </c>
      <c r="S14" s="32">
        <v>5</v>
      </c>
      <c r="T14" s="32">
        <v>4</v>
      </c>
      <c r="U14" s="32">
        <v>5</v>
      </c>
      <c r="V14" s="32">
        <v>6</v>
      </c>
      <c r="W14" s="32"/>
      <c r="X14" s="32"/>
    </row>
    <row r="15" spans="2:24" ht="11.25">
      <c r="B15" s="27">
        <v>6</v>
      </c>
      <c r="C15" s="40">
        <v>70</v>
      </c>
      <c r="D15" s="39" t="s">
        <v>409</v>
      </c>
      <c r="E15" s="69">
        <f t="shared" si="0"/>
        <v>9</v>
      </c>
      <c r="F15" s="32">
        <v>0</v>
      </c>
      <c r="G15" s="215">
        <f>C_S_G($H15:X15,$H$8:X$8,csg_table,E$8,F15)</f>
        <v>0.7569832402234636</v>
      </c>
      <c r="H15" s="32">
        <v>11</v>
      </c>
      <c r="I15" s="32">
        <v>4</v>
      </c>
      <c r="J15" s="32">
        <v>8</v>
      </c>
      <c r="K15" s="32">
        <v>10</v>
      </c>
      <c r="L15" s="32">
        <v>2</v>
      </c>
      <c r="M15" s="32">
        <v>6</v>
      </c>
      <c r="N15" s="32">
        <v>4</v>
      </c>
      <c r="O15" s="32">
        <v>4</v>
      </c>
      <c r="P15" s="32"/>
      <c r="Q15" s="32"/>
      <c r="R15" s="32"/>
      <c r="S15" s="32"/>
      <c r="T15" s="32"/>
      <c r="U15" s="32"/>
      <c r="V15" s="32"/>
      <c r="W15" s="32" t="s">
        <v>299</v>
      </c>
      <c r="X15" s="32"/>
    </row>
    <row r="16" spans="2:24" ht="11.25">
      <c r="B16" s="27">
        <v>7</v>
      </c>
      <c r="C16" s="40">
        <v>183</v>
      </c>
      <c r="D16" s="39" t="s">
        <v>418</v>
      </c>
      <c r="E16" s="69">
        <f t="shared" si="0"/>
        <v>10</v>
      </c>
      <c r="F16" s="32">
        <v>0</v>
      </c>
      <c r="G16" s="215">
        <f>C_S_G($H16:X16,$H$8:X$8,csg_table,E$8,F16)</f>
        <v>0.7559055118110236</v>
      </c>
      <c r="H16" s="32">
        <v>8</v>
      </c>
      <c r="I16" s="32">
        <v>9</v>
      </c>
      <c r="J16" s="32">
        <v>1</v>
      </c>
      <c r="K16" s="32">
        <v>5</v>
      </c>
      <c r="L16" s="32"/>
      <c r="M16" s="32"/>
      <c r="N16" s="32"/>
      <c r="O16" s="32"/>
      <c r="P16" s="32">
        <v>4</v>
      </c>
      <c r="Q16" s="32">
        <v>7</v>
      </c>
      <c r="R16" s="32">
        <v>5</v>
      </c>
      <c r="S16" s="32">
        <v>7</v>
      </c>
      <c r="T16" s="32">
        <v>6</v>
      </c>
      <c r="U16" s="32">
        <v>8</v>
      </c>
      <c r="V16" s="32"/>
      <c r="W16" s="32"/>
      <c r="X16" s="32"/>
    </row>
    <row r="17" spans="2:24" ht="11.25">
      <c r="B17" s="27">
        <v>8</v>
      </c>
      <c r="C17" s="40">
        <v>117</v>
      </c>
      <c r="D17" s="39" t="s">
        <v>405</v>
      </c>
      <c r="E17" s="69">
        <f t="shared" si="0"/>
        <v>15</v>
      </c>
      <c r="F17" s="32">
        <v>0</v>
      </c>
      <c r="G17" s="215">
        <f>C_S_G($H17:X17,$H$8:X$8,csg_table,E$8,F17)</f>
        <v>0.6902654867256637</v>
      </c>
      <c r="H17" s="32">
        <v>12</v>
      </c>
      <c r="I17" s="32">
        <v>12</v>
      </c>
      <c r="J17" s="32">
        <v>11</v>
      </c>
      <c r="K17" s="32">
        <v>9</v>
      </c>
      <c r="L17" s="32">
        <v>10</v>
      </c>
      <c r="M17" s="32">
        <v>7</v>
      </c>
      <c r="N17" s="32">
        <v>9</v>
      </c>
      <c r="O17" s="32">
        <v>7</v>
      </c>
      <c r="P17" s="32">
        <v>7</v>
      </c>
      <c r="Q17" s="32">
        <v>5</v>
      </c>
      <c r="R17" s="32">
        <v>4</v>
      </c>
      <c r="S17" s="32">
        <v>6</v>
      </c>
      <c r="T17" s="32">
        <v>7</v>
      </c>
      <c r="U17" s="32">
        <v>6</v>
      </c>
      <c r="V17" s="32">
        <v>5</v>
      </c>
      <c r="W17" s="32"/>
      <c r="X17" s="32"/>
    </row>
    <row r="18" spans="2:24" ht="11.25">
      <c r="B18" s="27">
        <v>9</v>
      </c>
      <c r="C18" s="40">
        <v>197</v>
      </c>
      <c r="D18" s="39" t="s">
        <v>411</v>
      </c>
      <c r="E18" s="69">
        <f t="shared" si="0"/>
        <v>8</v>
      </c>
      <c r="F18" s="32">
        <v>0</v>
      </c>
      <c r="G18" s="215">
        <f>C_S_G($H18:X18,$H$8:X$8,csg_table,E$8,F18)</f>
        <v>0.7098360655737705</v>
      </c>
      <c r="H18" s="32">
        <v>9</v>
      </c>
      <c r="I18" s="32">
        <v>8</v>
      </c>
      <c r="J18" s="32">
        <v>9</v>
      </c>
      <c r="K18" s="32">
        <v>11</v>
      </c>
      <c r="L18" s="32"/>
      <c r="M18" s="32"/>
      <c r="N18" s="32">
        <v>5</v>
      </c>
      <c r="O18" s="32">
        <v>5</v>
      </c>
      <c r="P18" s="32"/>
      <c r="Q18" s="32"/>
      <c r="R18" s="32"/>
      <c r="S18" s="32"/>
      <c r="T18" s="32"/>
      <c r="U18" s="32"/>
      <c r="V18" s="32"/>
      <c r="W18" s="32">
        <v>6</v>
      </c>
      <c r="X18" s="32">
        <v>5</v>
      </c>
    </row>
    <row r="19" spans="2:24" ht="11.25">
      <c r="B19" s="27">
        <v>10</v>
      </c>
      <c r="C19" s="50">
        <v>38</v>
      </c>
      <c r="D19" s="60" t="s">
        <v>404</v>
      </c>
      <c r="E19" s="213">
        <f t="shared" si="0"/>
        <v>8</v>
      </c>
      <c r="F19" s="34">
        <v>0</v>
      </c>
      <c r="G19" s="216">
        <f>C_S_G($H19:X19,$H$8:X$8,csg_table,E$8,F19)</f>
        <v>0.6821305841924399</v>
      </c>
      <c r="H19" s="34"/>
      <c r="I19" s="34"/>
      <c r="J19" s="34"/>
      <c r="K19" s="34"/>
      <c r="L19" s="34">
        <v>9</v>
      </c>
      <c r="M19" s="34" t="s">
        <v>299</v>
      </c>
      <c r="N19" s="34">
        <v>7</v>
      </c>
      <c r="O19" s="34"/>
      <c r="P19" s="34"/>
      <c r="Q19" s="34"/>
      <c r="R19" s="34"/>
      <c r="S19" s="34"/>
      <c r="T19" s="34">
        <v>8</v>
      </c>
      <c r="U19" s="34">
        <v>7</v>
      </c>
      <c r="V19" s="34">
        <v>7</v>
      </c>
      <c r="W19" s="34">
        <v>5</v>
      </c>
      <c r="X19" s="34" t="s">
        <v>299</v>
      </c>
    </row>
    <row r="20" spans="3:24" ht="11.25">
      <c r="C20" s="40">
        <v>106</v>
      </c>
      <c r="D20" s="39" t="s">
        <v>505</v>
      </c>
      <c r="E20" s="69">
        <f t="shared" si="0"/>
        <v>6</v>
      </c>
      <c r="F20" s="32">
        <v>0</v>
      </c>
      <c r="G20" s="215">
        <f>C_S_G($H20:X20,$H$8:X$8,csg_table,E$8,F20)</f>
        <v>0.7885375494071146</v>
      </c>
      <c r="H20" s="32">
        <v>3</v>
      </c>
      <c r="I20" s="32">
        <v>6</v>
      </c>
      <c r="J20" s="32">
        <v>6</v>
      </c>
      <c r="K20" s="32">
        <v>3</v>
      </c>
      <c r="L20" s="32">
        <v>5</v>
      </c>
      <c r="M20" s="32" t="s">
        <v>299</v>
      </c>
      <c r="N20" s="32"/>
      <c r="O20" s="32"/>
      <c r="P20" s="32"/>
      <c r="Q20" s="32"/>
      <c r="R20" s="32"/>
      <c r="S20" s="32"/>
      <c r="T20" s="32"/>
      <c r="U20" s="32"/>
      <c r="V20" s="32"/>
      <c r="W20" s="32"/>
      <c r="X20" s="32"/>
    </row>
    <row r="21" spans="3:24" ht="11.25">
      <c r="C21" s="40">
        <v>5</v>
      </c>
      <c r="D21" s="39" t="s">
        <v>408</v>
      </c>
      <c r="E21" s="69">
        <f t="shared" si="0"/>
        <v>6</v>
      </c>
      <c r="F21" s="32">
        <f>MIN(INT(E21/10),3)</f>
        <v>0</v>
      </c>
      <c r="G21" s="215">
        <f>C_S_G($H21:X21,$H$8:X$8,csg_table,E$8,F21)</f>
        <v>0.6810344827586207</v>
      </c>
      <c r="H21" s="32">
        <v>10</v>
      </c>
      <c r="I21" s="32">
        <v>11</v>
      </c>
      <c r="J21" s="32"/>
      <c r="K21" s="32"/>
      <c r="L21" s="32"/>
      <c r="M21" s="32"/>
      <c r="N21" s="32">
        <v>6</v>
      </c>
      <c r="O21" s="32">
        <v>6</v>
      </c>
      <c r="P21" s="32">
        <v>8</v>
      </c>
      <c r="Q21" s="32" t="s">
        <v>299</v>
      </c>
      <c r="R21" s="32"/>
      <c r="S21" s="32"/>
      <c r="T21" s="32"/>
      <c r="U21" s="32"/>
      <c r="V21" s="32"/>
      <c r="W21" s="32"/>
      <c r="X21" s="32"/>
    </row>
    <row r="22" spans="3:24" ht="11.25">
      <c r="C22" s="40">
        <v>41</v>
      </c>
      <c r="D22" s="39" t="s">
        <v>417</v>
      </c>
      <c r="E22" s="69">
        <f t="shared" si="0"/>
        <v>5</v>
      </c>
      <c r="F22" s="32">
        <v>0</v>
      </c>
      <c r="G22" s="215">
        <f>C_S_G($H22:X22,$H$8:X$8,csg_table,E$8,F22)</f>
        <v>0.7348066298342542</v>
      </c>
      <c r="H22" s="32"/>
      <c r="I22" s="32"/>
      <c r="J22" s="32"/>
      <c r="K22" s="32"/>
      <c r="L22" s="32">
        <v>8</v>
      </c>
      <c r="M22" s="32">
        <v>8</v>
      </c>
      <c r="N22" s="32">
        <v>8</v>
      </c>
      <c r="O22" s="32"/>
      <c r="P22" s="32"/>
      <c r="Q22" s="32"/>
      <c r="R22" s="32"/>
      <c r="S22" s="32"/>
      <c r="T22" s="32"/>
      <c r="U22" s="32"/>
      <c r="V22" s="32"/>
      <c r="W22" s="32">
        <v>4</v>
      </c>
      <c r="X22" s="32">
        <v>3</v>
      </c>
    </row>
    <row r="23" spans="3:24" ht="11.25">
      <c r="C23" s="40">
        <v>49</v>
      </c>
      <c r="D23" s="39" t="s">
        <v>526</v>
      </c>
      <c r="E23" s="69">
        <f t="shared" si="0"/>
        <v>4</v>
      </c>
      <c r="F23" s="32">
        <v>0</v>
      </c>
      <c r="G23" s="215">
        <f>C_S_G($H23:X23,$H$8:X$8,csg_table,E$8,F23)</f>
        <v>0.9415204678362573</v>
      </c>
      <c r="H23" s="32">
        <v>2</v>
      </c>
      <c r="I23" s="32">
        <v>1</v>
      </c>
      <c r="J23" s="32">
        <v>4</v>
      </c>
      <c r="K23" s="32">
        <v>1</v>
      </c>
      <c r="L23" s="32"/>
      <c r="M23" s="32"/>
      <c r="N23" s="32"/>
      <c r="O23" s="32"/>
      <c r="P23" s="32"/>
      <c r="Q23" s="32"/>
      <c r="R23" s="32"/>
      <c r="S23" s="32"/>
      <c r="T23" s="32"/>
      <c r="U23" s="32"/>
      <c r="V23" s="32"/>
      <c r="W23" s="32"/>
      <c r="X23" s="32"/>
    </row>
    <row r="24" spans="3:24" ht="11.25">
      <c r="C24" s="40">
        <v>231</v>
      </c>
      <c r="D24" s="39" t="s">
        <v>419</v>
      </c>
      <c r="E24" s="69">
        <f t="shared" si="0"/>
        <v>3</v>
      </c>
      <c r="F24" s="32">
        <v>0</v>
      </c>
      <c r="G24" s="215">
        <f>C_S_G($H24:X24,$H$8:X$8,csg_table,E$8,F24)</f>
        <v>0.8412698412698413</v>
      </c>
      <c r="H24" s="32"/>
      <c r="I24" s="32"/>
      <c r="J24" s="32"/>
      <c r="K24" s="32"/>
      <c r="L24" s="32"/>
      <c r="M24" s="32"/>
      <c r="N24" s="32"/>
      <c r="O24" s="32"/>
      <c r="P24" s="32"/>
      <c r="Q24" s="32"/>
      <c r="R24" s="32"/>
      <c r="S24" s="32" t="s">
        <v>191</v>
      </c>
      <c r="T24" s="32"/>
      <c r="U24" s="32"/>
      <c r="V24" s="32"/>
      <c r="W24" s="32">
        <v>2</v>
      </c>
      <c r="X24" s="32">
        <v>4</v>
      </c>
    </row>
    <row r="25" spans="3:24" ht="11.25">
      <c r="C25" s="40">
        <v>221</v>
      </c>
      <c r="D25" s="39" t="s">
        <v>407</v>
      </c>
      <c r="E25" s="69">
        <f t="shared" si="0"/>
        <v>2</v>
      </c>
      <c r="F25" s="32">
        <v>0</v>
      </c>
      <c r="G25" s="215">
        <f>C_S_G($H25:X25,$H$8:X$8,csg_table,E$8,F25)</f>
        <v>0.7797619047619048</v>
      </c>
      <c r="H25" s="32"/>
      <c r="I25" s="32"/>
      <c r="J25" s="32">
        <v>5</v>
      </c>
      <c r="K25" s="32">
        <v>6</v>
      </c>
      <c r="L25" s="32"/>
      <c r="M25" s="32"/>
      <c r="N25" s="32"/>
      <c r="O25" s="32"/>
      <c r="P25" s="32"/>
      <c r="Q25" s="32"/>
      <c r="R25" s="32"/>
      <c r="S25" s="32"/>
      <c r="T25" s="32"/>
      <c r="U25" s="32"/>
      <c r="V25" s="32"/>
      <c r="W25" s="32"/>
      <c r="X25" s="32"/>
    </row>
    <row r="26" spans="3:24" ht="11.25">
      <c r="C26" s="50">
        <v>239</v>
      </c>
      <c r="D26" s="60" t="s">
        <v>661</v>
      </c>
      <c r="E26" s="213">
        <f t="shared" si="0"/>
        <v>2</v>
      </c>
      <c r="F26" s="34">
        <f>MIN(INT(E26/10),3)</f>
        <v>0</v>
      </c>
      <c r="G26" s="35">
        <f>C_S_G($H26:X26,$H$8:X$8,csg_table,E$8,F26)</f>
        <v>1</v>
      </c>
      <c r="H26" s="34"/>
      <c r="I26" s="34"/>
      <c r="J26" s="34"/>
      <c r="K26" s="34"/>
      <c r="L26" s="34"/>
      <c r="M26" s="34"/>
      <c r="N26" s="34"/>
      <c r="O26" s="34"/>
      <c r="P26" s="34"/>
      <c r="Q26" s="34"/>
      <c r="R26" s="34"/>
      <c r="S26" s="34"/>
      <c r="T26" s="34"/>
      <c r="U26" s="34"/>
      <c r="V26" s="34"/>
      <c r="W26" s="34">
        <v>1</v>
      </c>
      <c r="X26" s="34">
        <v>1</v>
      </c>
    </row>
    <row r="29" ht="11.25">
      <c r="D29" s="27" t="s">
        <v>730</v>
      </c>
    </row>
    <row r="30" ht="11.25">
      <c r="D30" s="27" t="s">
        <v>731</v>
      </c>
    </row>
    <row r="31" ht="11.25">
      <c r="D31" s="27" t="s">
        <v>732</v>
      </c>
    </row>
  </sheetData>
  <sheetProtection/>
  <mergeCells count="4">
    <mergeCell ref="P4:V4"/>
    <mergeCell ref="W4:X4"/>
    <mergeCell ref="H4:K4"/>
    <mergeCell ref="L4:O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codeName="Sheet47"/>
  <dimension ref="A1:X22"/>
  <sheetViews>
    <sheetView zoomScalePageLayoutView="0" workbookViewId="0" topLeftCell="B1">
      <selection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4.421875" style="27" customWidth="1"/>
    <col min="12" max="24" width="4.140625" style="27" customWidth="1"/>
    <col min="25" max="16384" width="9.140625" style="27" customWidth="1"/>
  </cols>
  <sheetData>
    <row r="1" ht="11.25">
      <c r="A1" s="27" t="s">
        <v>191</v>
      </c>
    </row>
    <row r="2" ht="11.25">
      <c r="D2" s="233" t="s">
        <v>761</v>
      </c>
    </row>
    <row r="3" ht="11.25">
      <c r="D3" s="27" t="s">
        <v>697</v>
      </c>
    </row>
    <row r="4" spans="8:24" ht="11.25">
      <c r="H4" s="28"/>
      <c r="I4" s="29"/>
      <c r="J4" s="29"/>
      <c r="K4" s="29"/>
      <c r="L4" s="29"/>
      <c r="M4" s="29"/>
      <c r="N4" s="29"/>
      <c r="O4" s="30"/>
      <c r="P4" s="49"/>
      <c r="Q4" s="49"/>
      <c r="R4" s="49"/>
      <c r="S4" s="49"/>
      <c r="T4" s="49"/>
      <c r="U4" s="49"/>
      <c r="V4" s="49"/>
      <c r="W4" s="29"/>
      <c r="X4" s="30"/>
    </row>
    <row r="5" spans="4:24" ht="11.25">
      <c r="D5" s="191"/>
      <c r="H5" s="375" t="s">
        <v>309</v>
      </c>
      <c r="I5" s="376"/>
      <c r="J5" s="376"/>
      <c r="K5" s="377"/>
      <c r="L5" s="376" t="s">
        <v>314</v>
      </c>
      <c r="M5" s="376"/>
      <c r="N5" s="376"/>
      <c r="O5" s="377"/>
      <c r="P5" s="375" t="s">
        <v>548</v>
      </c>
      <c r="Q5" s="376"/>
      <c r="R5" s="376"/>
      <c r="S5" s="376"/>
      <c r="T5" s="376"/>
      <c r="U5" s="376"/>
      <c r="V5" s="377"/>
      <c r="W5" s="375" t="s">
        <v>660</v>
      </c>
      <c r="X5" s="377"/>
    </row>
    <row r="6" spans="3:24" ht="11.25">
      <c r="C6" s="37"/>
      <c r="D6" s="126"/>
      <c r="E6" s="105"/>
      <c r="F6" s="115"/>
      <c r="G6" s="116" t="s">
        <v>184</v>
      </c>
      <c r="H6" s="62" t="s">
        <v>295</v>
      </c>
      <c r="I6" s="41" t="s">
        <v>295</v>
      </c>
      <c r="J6" s="41" t="s">
        <v>295</v>
      </c>
      <c r="K6" s="41" t="s">
        <v>430</v>
      </c>
      <c r="L6" s="41"/>
      <c r="M6" s="41"/>
      <c r="N6" s="41"/>
      <c r="O6" s="41"/>
      <c r="P6" s="41" t="s">
        <v>295</v>
      </c>
      <c r="Q6" s="41" t="s">
        <v>295</v>
      </c>
      <c r="R6" s="41" t="s">
        <v>295</v>
      </c>
      <c r="S6" s="41" t="s">
        <v>295</v>
      </c>
      <c r="T6" s="41" t="s">
        <v>295</v>
      </c>
      <c r="U6" s="41" t="s">
        <v>295</v>
      </c>
      <c r="V6" s="41" t="s">
        <v>295</v>
      </c>
      <c r="W6" s="41"/>
      <c r="X6" s="41"/>
    </row>
    <row r="7" spans="3:24" ht="11.25">
      <c r="C7" s="39"/>
      <c r="D7" s="63"/>
      <c r="E7" s="56"/>
      <c r="F7" s="117"/>
      <c r="G7" s="118" t="s">
        <v>185</v>
      </c>
      <c r="H7" s="112">
        <v>190</v>
      </c>
      <c r="I7" s="42">
        <v>190</v>
      </c>
      <c r="J7" s="42">
        <v>330</v>
      </c>
      <c r="K7" s="42">
        <v>330</v>
      </c>
      <c r="L7" s="41"/>
      <c r="M7" s="41"/>
      <c r="N7" s="41"/>
      <c r="O7" s="41"/>
      <c r="P7" s="41">
        <v>175</v>
      </c>
      <c r="Q7" s="41">
        <v>175</v>
      </c>
      <c r="R7" s="41">
        <v>175</v>
      </c>
      <c r="S7" s="41">
        <v>175</v>
      </c>
      <c r="T7" s="41">
        <v>175</v>
      </c>
      <c r="U7" s="41">
        <v>175</v>
      </c>
      <c r="V7" s="41">
        <v>175</v>
      </c>
      <c r="W7" s="41"/>
      <c r="X7" s="41"/>
    </row>
    <row r="8" spans="3:24" ht="11.25">
      <c r="C8" s="39"/>
      <c r="D8" s="63"/>
      <c r="E8" s="56"/>
      <c r="F8" s="117"/>
      <c r="G8" s="118" t="s">
        <v>186</v>
      </c>
      <c r="H8" s="62">
        <v>12</v>
      </c>
      <c r="I8" s="41">
        <v>20</v>
      </c>
      <c r="J8" s="44" t="s">
        <v>363</v>
      </c>
      <c r="K8" s="43" t="s">
        <v>362</v>
      </c>
      <c r="L8" s="43"/>
      <c r="M8" s="43"/>
      <c r="N8" s="43"/>
      <c r="O8" s="43"/>
      <c r="P8" s="43">
        <v>15</v>
      </c>
      <c r="Q8" s="43">
        <v>15</v>
      </c>
      <c r="R8" s="43">
        <v>15</v>
      </c>
      <c r="S8" s="43">
        <v>15</v>
      </c>
      <c r="T8" s="43">
        <v>10</v>
      </c>
      <c r="U8" s="43">
        <v>8</v>
      </c>
      <c r="V8" s="43">
        <v>5</v>
      </c>
      <c r="W8" s="43"/>
      <c r="X8" s="43"/>
    </row>
    <row r="9" spans="3:24" ht="11.25">
      <c r="C9" s="60"/>
      <c r="D9" s="127"/>
      <c r="E9" s="56">
        <f>COUNTIF($H9:X9,"&gt;=0")</f>
        <v>17</v>
      </c>
      <c r="F9" s="119"/>
      <c r="G9" s="120" t="s">
        <v>187</v>
      </c>
      <c r="H9" s="62">
        <v>0</v>
      </c>
      <c r="I9" s="41">
        <v>0</v>
      </c>
      <c r="J9" s="41">
        <v>0</v>
      </c>
      <c r="K9" s="41">
        <v>0</v>
      </c>
      <c r="L9" s="41">
        <v>5</v>
      </c>
      <c r="M9" s="41">
        <v>5</v>
      </c>
      <c r="N9" s="41">
        <v>4</v>
      </c>
      <c r="O9" s="41">
        <v>3</v>
      </c>
      <c r="P9" s="41">
        <v>7</v>
      </c>
      <c r="Q9" s="41">
        <v>6</v>
      </c>
      <c r="R9" s="41">
        <v>6</v>
      </c>
      <c r="S9" s="41">
        <v>5</v>
      </c>
      <c r="T9" s="41">
        <v>7</v>
      </c>
      <c r="U9" s="41">
        <v>7</v>
      </c>
      <c r="V9" s="41">
        <v>0</v>
      </c>
      <c r="W9" s="41">
        <v>4</v>
      </c>
      <c r="X9" s="41">
        <v>3</v>
      </c>
    </row>
    <row r="10" spans="3:24" ht="37.5">
      <c r="C10" s="41" t="s">
        <v>451</v>
      </c>
      <c r="D10" s="124" t="s">
        <v>422</v>
      </c>
      <c r="E10" s="36" t="s">
        <v>188</v>
      </c>
      <c r="F10" s="149" t="s">
        <v>189</v>
      </c>
      <c r="G10" s="151" t="s">
        <v>190</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row>
    <row r="11" spans="2:24" ht="11.25">
      <c r="B11" s="27">
        <v>1</v>
      </c>
      <c r="C11" s="38">
        <v>20</v>
      </c>
      <c r="D11" s="37" t="s">
        <v>762</v>
      </c>
      <c r="E11" s="212">
        <f aca="true" t="shared" si="0" ref="E11:E17">COUNTA(H11:X11)</f>
        <v>8</v>
      </c>
      <c r="F11" s="48">
        <v>0</v>
      </c>
      <c r="G11" s="214">
        <f>C_S_G($H11:X11,$H$9:X$9,csg_table,E$9,F11)</f>
        <v>0.9713603818615751</v>
      </c>
      <c r="H11" s="48"/>
      <c r="I11" s="48"/>
      <c r="J11" s="48"/>
      <c r="K11" s="48"/>
      <c r="L11" s="48">
        <v>1</v>
      </c>
      <c r="M11" s="48">
        <v>1</v>
      </c>
      <c r="N11" s="48">
        <v>1</v>
      </c>
      <c r="O11" s="48"/>
      <c r="P11" s="48">
        <v>1</v>
      </c>
      <c r="Q11" s="48"/>
      <c r="R11" s="48"/>
      <c r="S11" s="48"/>
      <c r="T11" s="48">
        <v>2</v>
      </c>
      <c r="U11" s="48">
        <v>1</v>
      </c>
      <c r="V11" s="48"/>
      <c r="W11" s="48">
        <v>1</v>
      </c>
      <c r="X11" s="48">
        <v>2</v>
      </c>
    </row>
    <row r="12" spans="2:24" ht="11.25">
      <c r="B12" s="27">
        <v>2</v>
      </c>
      <c r="C12" s="40">
        <v>22</v>
      </c>
      <c r="D12" s="39" t="s">
        <v>765</v>
      </c>
      <c r="E12" s="69">
        <f t="shared" si="0"/>
        <v>8</v>
      </c>
      <c r="F12" s="32">
        <v>0</v>
      </c>
      <c r="G12" s="215">
        <f>C_S_G($H12:X12,$H$9:X$9,csg_table,E$9,F12)</f>
        <v>0.8185654008438819</v>
      </c>
      <c r="H12" s="32"/>
      <c r="I12" s="32"/>
      <c r="J12" s="32"/>
      <c r="K12" s="32"/>
      <c r="L12" s="32">
        <v>3</v>
      </c>
      <c r="M12" s="32">
        <v>5</v>
      </c>
      <c r="N12" s="32"/>
      <c r="O12" s="32"/>
      <c r="P12" s="32">
        <v>3</v>
      </c>
      <c r="Q12" s="32">
        <v>1</v>
      </c>
      <c r="R12" s="32">
        <v>3</v>
      </c>
      <c r="S12" s="32">
        <v>1</v>
      </c>
      <c r="T12" s="32">
        <v>7</v>
      </c>
      <c r="U12" s="32">
        <v>5</v>
      </c>
      <c r="V12" s="32"/>
      <c r="W12" s="32"/>
      <c r="X12" s="32"/>
    </row>
    <row r="13" spans="2:24" ht="11.25">
      <c r="B13" s="27">
        <v>3</v>
      </c>
      <c r="C13" s="40">
        <v>12</v>
      </c>
      <c r="D13" s="39" t="s">
        <v>763</v>
      </c>
      <c r="E13" s="69">
        <f t="shared" si="0"/>
        <v>12</v>
      </c>
      <c r="F13" s="32">
        <v>0</v>
      </c>
      <c r="G13" s="215">
        <f>C_S_G($H13:X13,$H$9:X$9,csg_table,E$9,F13)</f>
        <v>0.8118971061093248</v>
      </c>
      <c r="H13" s="32"/>
      <c r="I13" s="32"/>
      <c r="J13" s="32"/>
      <c r="K13" s="32"/>
      <c r="L13" s="32">
        <v>2</v>
      </c>
      <c r="M13" s="32">
        <v>3</v>
      </c>
      <c r="N13" s="32">
        <v>3</v>
      </c>
      <c r="O13" s="32">
        <v>3</v>
      </c>
      <c r="P13" s="32">
        <v>4</v>
      </c>
      <c r="Q13" s="32">
        <v>5</v>
      </c>
      <c r="R13" s="32">
        <v>4</v>
      </c>
      <c r="S13" s="32">
        <v>3</v>
      </c>
      <c r="T13" s="32">
        <v>1</v>
      </c>
      <c r="U13" s="32">
        <v>3</v>
      </c>
      <c r="V13" s="32"/>
      <c r="W13" s="32">
        <v>2</v>
      </c>
      <c r="X13" s="32">
        <v>3</v>
      </c>
    </row>
    <row r="14" spans="2:24" ht="11.25">
      <c r="B14" s="27">
        <v>4</v>
      </c>
      <c r="C14" s="40">
        <v>17</v>
      </c>
      <c r="D14" s="39" t="s">
        <v>766</v>
      </c>
      <c r="E14" s="69">
        <f t="shared" si="0"/>
        <v>9</v>
      </c>
      <c r="F14" s="32">
        <v>0</v>
      </c>
      <c r="G14" s="215">
        <f>C_S_G($H14:X14,$H$9:X$9,csg_table,E$9,F14)</f>
        <v>0.7903225806451613</v>
      </c>
      <c r="H14" s="32"/>
      <c r="I14" s="32"/>
      <c r="J14" s="32"/>
      <c r="K14" s="32"/>
      <c r="L14" s="32">
        <v>4</v>
      </c>
      <c r="M14" s="32">
        <v>2</v>
      </c>
      <c r="N14" s="32">
        <v>2</v>
      </c>
      <c r="O14" s="32">
        <v>1</v>
      </c>
      <c r="P14" s="32">
        <v>5</v>
      </c>
      <c r="Q14" s="32">
        <v>3</v>
      </c>
      <c r="R14" s="32">
        <v>6</v>
      </c>
      <c r="S14" s="32"/>
      <c r="T14" s="32">
        <v>5</v>
      </c>
      <c r="U14" s="32">
        <v>4</v>
      </c>
      <c r="V14" s="32"/>
      <c r="W14" s="32"/>
      <c r="X14" s="32"/>
    </row>
    <row r="15" spans="2:24" ht="11.25">
      <c r="B15" s="27">
        <v>5</v>
      </c>
      <c r="C15" s="50">
        <v>10</v>
      </c>
      <c r="D15" s="60" t="s">
        <v>764</v>
      </c>
      <c r="E15" s="213">
        <f t="shared" si="0"/>
        <v>12</v>
      </c>
      <c r="F15" s="34">
        <v>0</v>
      </c>
      <c r="G15" s="216">
        <f>C_S_G($H15:X15,$H$9:X$9,csg_table,E$9,F15)</f>
        <v>0.7443729903536977</v>
      </c>
      <c r="H15" s="34"/>
      <c r="I15" s="34"/>
      <c r="J15" s="34"/>
      <c r="K15" s="34"/>
      <c r="L15" s="34">
        <v>5</v>
      </c>
      <c r="M15" s="34">
        <v>4</v>
      </c>
      <c r="N15" s="34">
        <v>4</v>
      </c>
      <c r="O15" s="34">
        <v>2</v>
      </c>
      <c r="P15" s="34">
        <v>6</v>
      </c>
      <c r="Q15" s="34">
        <v>4</v>
      </c>
      <c r="R15" s="34">
        <v>5</v>
      </c>
      <c r="S15" s="34">
        <v>5</v>
      </c>
      <c r="T15" s="34">
        <v>3</v>
      </c>
      <c r="U15" s="34">
        <v>6</v>
      </c>
      <c r="V15" s="34"/>
      <c r="W15" s="34">
        <v>3</v>
      </c>
      <c r="X15" s="34">
        <v>1</v>
      </c>
    </row>
    <row r="16" spans="3:24" ht="11.25">
      <c r="C16" s="38">
        <v>68</v>
      </c>
      <c r="D16" s="37" t="s">
        <v>767</v>
      </c>
      <c r="E16" s="212">
        <f t="shared" si="0"/>
        <v>6</v>
      </c>
      <c r="F16" s="48">
        <v>0</v>
      </c>
      <c r="G16" s="214">
        <f>C_S_G($H16:X16,$H$9:X$9,csg_table,E$9,F16)</f>
        <v>0.8378378378378378</v>
      </c>
      <c r="H16" s="48"/>
      <c r="I16" s="48"/>
      <c r="J16" s="48"/>
      <c r="K16" s="48"/>
      <c r="L16" s="48"/>
      <c r="M16" s="48"/>
      <c r="N16" s="48"/>
      <c r="O16" s="48"/>
      <c r="P16" s="48">
        <v>2</v>
      </c>
      <c r="Q16" s="48">
        <v>2</v>
      </c>
      <c r="R16" s="48">
        <v>1</v>
      </c>
      <c r="S16" s="48">
        <v>2</v>
      </c>
      <c r="T16" s="48">
        <v>6</v>
      </c>
      <c r="U16" s="48">
        <v>7</v>
      </c>
      <c r="V16" s="48"/>
      <c r="W16" s="48"/>
      <c r="X16" s="48"/>
    </row>
    <row r="17" spans="3:24" ht="11.25">
      <c r="C17" s="50">
        <v>28</v>
      </c>
      <c r="D17" s="60"/>
      <c r="E17" s="213">
        <f t="shared" si="0"/>
        <v>6</v>
      </c>
      <c r="F17" s="34">
        <v>0</v>
      </c>
      <c r="G17" s="216">
        <f>C_S_G($H17:X17,$H$9:X$9,csg_table,E$9,F17)</f>
        <v>0.7783783783783784</v>
      </c>
      <c r="H17" s="34"/>
      <c r="I17" s="34"/>
      <c r="J17" s="34"/>
      <c r="K17" s="34"/>
      <c r="L17" s="34"/>
      <c r="M17" s="34"/>
      <c r="N17" s="34"/>
      <c r="O17" s="34"/>
      <c r="P17" s="34">
        <v>7</v>
      </c>
      <c r="Q17" s="34">
        <v>6</v>
      </c>
      <c r="R17" s="34">
        <v>2</v>
      </c>
      <c r="S17" s="34">
        <v>4</v>
      </c>
      <c r="T17" s="34">
        <v>4</v>
      </c>
      <c r="U17" s="34">
        <v>2</v>
      </c>
      <c r="V17" s="34"/>
      <c r="W17" s="34"/>
      <c r="X17" s="34"/>
    </row>
    <row r="18" ht="10.5" customHeight="1"/>
    <row r="20" ht="11.25">
      <c r="D20" s="27" t="s">
        <v>730</v>
      </c>
    </row>
    <row r="21" ht="11.25">
      <c r="D21" s="27" t="s">
        <v>731</v>
      </c>
    </row>
    <row r="22" ht="11.25">
      <c r="D22" s="27" t="s">
        <v>732</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codeName="Sheet48"/>
  <dimension ref="A1:Y32"/>
  <sheetViews>
    <sheetView zoomScalePageLayoutView="0" workbookViewId="0" topLeftCell="A1">
      <selection activeCell="D32" sqref="D32"/>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5" width="4.140625" style="27" customWidth="1"/>
    <col min="26" max="16384" width="9.140625" style="27" customWidth="1"/>
  </cols>
  <sheetData>
    <row r="1" ht="11.25">
      <c r="A1" s="27" t="s">
        <v>191</v>
      </c>
    </row>
    <row r="2" ht="11.25">
      <c r="D2" s="233" t="s">
        <v>768</v>
      </c>
    </row>
    <row r="3" ht="11.25">
      <c r="D3" s="27" t="s">
        <v>697</v>
      </c>
    </row>
    <row r="4" spans="8:25" ht="11.25">
      <c r="H4" s="28" t="s">
        <v>300</v>
      </c>
      <c r="I4" s="29"/>
      <c r="J4" s="29"/>
      <c r="K4" s="29"/>
      <c r="L4" s="29"/>
      <c r="M4" s="29"/>
      <c r="N4" s="29"/>
      <c r="O4" s="30"/>
      <c r="P4" s="49"/>
      <c r="Q4" s="49"/>
      <c r="R4" s="49"/>
      <c r="S4" s="49"/>
      <c r="T4" s="49"/>
      <c r="U4" s="49"/>
      <c r="V4" s="49"/>
      <c r="W4" s="29"/>
      <c r="X4" s="29"/>
      <c r="Y4" s="30"/>
    </row>
    <row r="5" spans="4:24" ht="11.25">
      <c r="D5" s="191"/>
      <c r="H5" s="375" t="s">
        <v>309</v>
      </c>
      <c r="I5" s="376"/>
      <c r="J5" s="376"/>
      <c r="K5" s="377"/>
      <c r="L5" s="376" t="s">
        <v>314</v>
      </c>
      <c r="M5" s="376"/>
      <c r="N5" s="376"/>
      <c r="O5" s="377"/>
      <c r="P5" s="375" t="s">
        <v>548</v>
      </c>
      <c r="Q5" s="376"/>
      <c r="R5" s="376"/>
      <c r="S5" s="376"/>
      <c r="T5" s="376"/>
      <c r="U5" s="376"/>
      <c r="V5" s="377"/>
      <c r="W5" s="375" t="s">
        <v>660</v>
      </c>
      <c r="X5" s="377"/>
    </row>
    <row r="6" spans="3:25" ht="11.25">
      <c r="C6" s="37"/>
      <c r="D6" s="126"/>
      <c r="E6" s="105"/>
      <c r="F6" s="115"/>
      <c r="G6" s="116" t="s">
        <v>184</v>
      </c>
      <c r="H6" s="62" t="s">
        <v>295</v>
      </c>
      <c r="I6" s="41" t="s">
        <v>295</v>
      </c>
      <c r="J6" s="41" t="s">
        <v>295</v>
      </c>
      <c r="K6" s="41" t="s">
        <v>430</v>
      </c>
      <c r="L6" s="41"/>
      <c r="M6" s="41"/>
      <c r="N6" s="41"/>
      <c r="O6" s="41"/>
      <c r="P6" s="41" t="s">
        <v>295</v>
      </c>
      <c r="Q6" s="41" t="s">
        <v>295</v>
      </c>
      <c r="R6" s="41" t="s">
        <v>295</v>
      </c>
      <c r="S6" s="41" t="s">
        <v>295</v>
      </c>
      <c r="T6" s="41" t="s">
        <v>295</v>
      </c>
      <c r="U6" s="41" t="s">
        <v>295</v>
      </c>
      <c r="V6" s="41" t="s">
        <v>295</v>
      </c>
      <c r="W6" s="41"/>
      <c r="X6" s="41"/>
      <c r="Y6" s="41"/>
    </row>
    <row r="7" spans="3:25" ht="11.25">
      <c r="C7" s="39"/>
      <c r="D7" s="63"/>
      <c r="E7" s="56"/>
      <c r="F7" s="117"/>
      <c r="G7" s="118" t="s">
        <v>185</v>
      </c>
      <c r="H7" s="112">
        <v>190</v>
      </c>
      <c r="I7" s="42">
        <v>190</v>
      </c>
      <c r="J7" s="42">
        <v>330</v>
      </c>
      <c r="K7" s="42">
        <v>330</v>
      </c>
      <c r="L7" s="41"/>
      <c r="M7" s="41"/>
      <c r="N7" s="41"/>
      <c r="O7" s="41"/>
      <c r="P7" s="41">
        <v>175</v>
      </c>
      <c r="Q7" s="41">
        <v>175</v>
      </c>
      <c r="R7" s="41">
        <v>175</v>
      </c>
      <c r="S7" s="41">
        <v>175</v>
      </c>
      <c r="T7" s="41">
        <v>175</v>
      </c>
      <c r="U7" s="41">
        <v>175</v>
      </c>
      <c r="V7" s="41">
        <v>175</v>
      </c>
      <c r="W7" s="41"/>
      <c r="X7" s="41"/>
      <c r="Y7" s="41"/>
    </row>
    <row r="8" spans="3:25" ht="11.25">
      <c r="C8" s="39"/>
      <c r="D8" s="63"/>
      <c r="E8" s="56"/>
      <c r="F8" s="117"/>
      <c r="G8" s="118" t="s">
        <v>186</v>
      </c>
      <c r="H8" s="62">
        <v>12</v>
      </c>
      <c r="I8" s="41">
        <v>20</v>
      </c>
      <c r="J8" s="44" t="s">
        <v>363</v>
      </c>
      <c r="K8" s="43" t="s">
        <v>362</v>
      </c>
      <c r="L8" s="43"/>
      <c r="M8" s="43"/>
      <c r="N8" s="43"/>
      <c r="O8" s="43"/>
      <c r="P8" s="43">
        <v>15</v>
      </c>
      <c r="Q8" s="43">
        <v>15</v>
      </c>
      <c r="R8" s="43">
        <v>15</v>
      </c>
      <c r="S8" s="43">
        <v>15</v>
      </c>
      <c r="T8" s="43">
        <v>10</v>
      </c>
      <c r="U8" s="43">
        <v>8</v>
      </c>
      <c r="V8" s="43">
        <v>5</v>
      </c>
      <c r="W8" s="43"/>
      <c r="X8" s="43"/>
      <c r="Y8" s="43"/>
    </row>
    <row r="9" spans="3:25" ht="11.25">
      <c r="C9" s="60"/>
      <c r="D9" s="127"/>
      <c r="E9" s="56">
        <f>COUNTIF($H9:Y9,"&gt;0")</f>
        <v>18</v>
      </c>
      <c r="F9" s="119"/>
      <c r="G9" s="120" t="s">
        <v>187</v>
      </c>
      <c r="H9" s="62">
        <v>7</v>
      </c>
      <c r="I9" s="41">
        <v>7</v>
      </c>
      <c r="J9" s="41">
        <v>9</v>
      </c>
      <c r="K9" s="41">
        <v>9</v>
      </c>
      <c r="L9" s="41">
        <v>8</v>
      </c>
      <c r="M9" s="41">
        <v>8</v>
      </c>
      <c r="N9" s="41">
        <v>8</v>
      </c>
      <c r="O9" s="41">
        <v>8</v>
      </c>
      <c r="P9" s="41">
        <v>10</v>
      </c>
      <c r="Q9" s="41">
        <v>10</v>
      </c>
      <c r="R9" s="41">
        <v>10</v>
      </c>
      <c r="S9" s="41">
        <v>10</v>
      </c>
      <c r="T9" s="41">
        <v>13</v>
      </c>
      <c r="U9" s="41">
        <v>13</v>
      </c>
      <c r="V9" s="41">
        <v>12</v>
      </c>
      <c r="W9" s="41">
        <v>8</v>
      </c>
      <c r="X9" s="41">
        <v>8</v>
      </c>
      <c r="Y9" s="41">
        <v>8</v>
      </c>
    </row>
    <row r="10" spans="3:25" ht="37.5">
      <c r="C10" s="41" t="s">
        <v>451</v>
      </c>
      <c r="D10" s="124" t="s">
        <v>422</v>
      </c>
      <c r="E10" s="36" t="s">
        <v>188</v>
      </c>
      <c r="F10" s="149" t="s">
        <v>189</v>
      </c>
      <c r="G10" s="151" t="s">
        <v>190</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c r="Y10" s="36">
        <v>38269</v>
      </c>
    </row>
    <row r="11" spans="2:25" ht="11.25">
      <c r="B11" s="27">
        <v>1</v>
      </c>
      <c r="C11" s="38">
        <v>1201</v>
      </c>
      <c r="D11" s="37" t="s">
        <v>769</v>
      </c>
      <c r="E11" s="212">
        <f aca="true" t="shared" si="0" ref="E11:E28">COUNTA(H11:Z11)</f>
        <v>18</v>
      </c>
      <c r="F11" s="48">
        <v>0</v>
      </c>
      <c r="G11" s="214">
        <f>C_S_G($H11:Z11,$H$9:Z$9,csg_table,E$9,F11)</f>
        <v>0.8429090909090909</v>
      </c>
      <c r="H11" s="48">
        <v>6</v>
      </c>
      <c r="I11" s="48">
        <v>2</v>
      </c>
      <c r="J11" s="48">
        <v>4</v>
      </c>
      <c r="K11" s="48">
        <v>2</v>
      </c>
      <c r="L11" s="48">
        <v>1</v>
      </c>
      <c r="M11" s="48">
        <v>7</v>
      </c>
      <c r="N11" s="48">
        <v>5</v>
      </c>
      <c r="O11" s="48">
        <v>4</v>
      </c>
      <c r="P11" s="48">
        <v>1</v>
      </c>
      <c r="Q11" s="48">
        <v>8</v>
      </c>
      <c r="R11" s="48">
        <v>4</v>
      </c>
      <c r="S11" s="48">
        <v>3</v>
      </c>
      <c r="T11" s="48">
        <v>3</v>
      </c>
      <c r="U11" s="48">
        <v>3</v>
      </c>
      <c r="V11" s="48">
        <v>3</v>
      </c>
      <c r="W11" s="48">
        <v>5</v>
      </c>
      <c r="X11" s="48">
        <v>4</v>
      </c>
      <c r="Y11" s="48">
        <v>3</v>
      </c>
    </row>
    <row r="12" spans="2:25" ht="11.25">
      <c r="B12" s="27">
        <v>2</v>
      </c>
      <c r="C12" s="40">
        <v>1248</v>
      </c>
      <c r="D12" s="39" t="s">
        <v>770</v>
      </c>
      <c r="E12" s="69">
        <f t="shared" si="0"/>
        <v>9</v>
      </c>
      <c r="F12" s="32">
        <v>0</v>
      </c>
      <c r="G12" s="215">
        <f>C_S_G($H12:Z12,$H$9:Z$9,csg_table,E$9,F12)</f>
        <v>0.8291925465838509</v>
      </c>
      <c r="H12" s="32">
        <v>3</v>
      </c>
      <c r="I12" s="32">
        <v>3</v>
      </c>
      <c r="J12" s="32">
        <v>2</v>
      </c>
      <c r="K12" s="32">
        <v>5</v>
      </c>
      <c r="L12" s="32"/>
      <c r="M12" s="32"/>
      <c r="N12" s="32">
        <v>8</v>
      </c>
      <c r="O12" s="32">
        <v>3</v>
      </c>
      <c r="P12" s="32"/>
      <c r="Q12" s="32"/>
      <c r="R12" s="32"/>
      <c r="S12" s="32"/>
      <c r="T12" s="32"/>
      <c r="U12" s="32"/>
      <c r="V12" s="32"/>
      <c r="W12" s="32">
        <v>2</v>
      </c>
      <c r="X12" s="32">
        <v>3</v>
      </c>
      <c r="Y12" s="32">
        <v>5</v>
      </c>
    </row>
    <row r="13" spans="2:25" ht="11.25">
      <c r="B13" s="27">
        <v>3</v>
      </c>
      <c r="C13" s="40">
        <v>1222</v>
      </c>
      <c r="D13" s="39" t="s">
        <v>771</v>
      </c>
      <c r="E13" s="69">
        <f t="shared" si="0"/>
        <v>18</v>
      </c>
      <c r="F13" s="32">
        <v>0</v>
      </c>
      <c r="G13" s="215">
        <f>C_S_G($H13:Z13,$H$9:Z$9,csg_table,E$9,F13)</f>
        <v>0.8121827411167513</v>
      </c>
      <c r="H13" s="32">
        <v>7</v>
      </c>
      <c r="I13" s="32">
        <v>5</v>
      </c>
      <c r="J13" s="32">
        <v>6</v>
      </c>
      <c r="K13" s="32">
        <v>6</v>
      </c>
      <c r="L13" s="32">
        <v>7</v>
      </c>
      <c r="M13" s="32">
        <v>2</v>
      </c>
      <c r="N13" s="32">
        <v>4</v>
      </c>
      <c r="O13" s="32">
        <v>1</v>
      </c>
      <c r="P13" s="32">
        <v>4</v>
      </c>
      <c r="Q13" s="32">
        <v>2</v>
      </c>
      <c r="R13" s="32" t="s">
        <v>517</v>
      </c>
      <c r="S13" s="32">
        <v>1</v>
      </c>
      <c r="T13" s="32">
        <v>7</v>
      </c>
      <c r="U13" s="32">
        <v>1</v>
      </c>
      <c r="V13" s="32">
        <v>8</v>
      </c>
      <c r="W13" s="32">
        <v>7</v>
      </c>
      <c r="X13" s="32">
        <v>1</v>
      </c>
      <c r="Y13" s="32">
        <v>7</v>
      </c>
    </row>
    <row r="14" spans="2:25" ht="11.25">
      <c r="B14" s="27">
        <v>4</v>
      </c>
      <c r="C14" s="40">
        <v>62</v>
      </c>
      <c r="D14" s="39" t="s">
        <v>772</v>
      </c>
      <c r="E14" s="69">
        <f t="shared" si="0"/>
        <v>18</v>
      </c>
      <c r="F14" s="32">
        <v>0</v>
      </c>
      <c r="G14" s="215">
        <f>C_S_G($H14:Z14,$H$9:Z$9,csg_table,E$9,F14)</f>
        <v>0.808</v>
      </c>
      <c r="H14" s="32">
        <v>5</v>
      </c>
      <c r="I14" s="32">
        <v>4</v>
      </c>
      <c r="J14" s="32">
        <v>5</v>
      </c>
      <c r="K14" s="32">
        <v>4</v>
      </c>
      <c r="L14" s="32">
        <v>4</v>
      </c>
      <c r="M14" s="32">
        <v>8</v>
      </c>
      <c r="N14" s="32">
        <v>3</v>
      </c>
      <c r="O14" s="32">
        <v>6</v>
      </c>
      <c r="P14" s="32">
        <v>2</v>
      </c>
      <c r="Q14" s="32">
        <v>4</v>
      </c>
      <c r="R14" s="32">
        <v>7</v>
      </c>
      <c r="S14" s="32">
        <v>2</v>
      </c>
      <c r="T14" s="32">
        <v>4</v>
      </c>
      <c r="U14" s="32">
        <v>6</v>
      </c>
      <c r="V14" s="32">
        <v>1</v>
      </c>
      <c r="W14" s="32">
        <v>6</v>
      </c>
      <c r="X14" s="32">
        <v>6</v>
      </c>
      <c r="Y14" s="32">
        <v>4</v>
      </c>
    </row>
    <row r="15" spans="2:25" ht="11.25">
      <c r="B15" s="27">
        <v>5</v>
      </c>
      <c r="C15" s="40">
        <v>1209</v>
      </c>
      <c r="D15" s="39" t="s">
        <v>773</v>
      </c>
      <c r="E15" s="69">
        <f t="shared" si="0"/>
        <v>18</v>
      </c>
      <c r="F15" s="32">
        <v>0</v>
      </c>
      <c r="G15" s="215">
        <f>C_S_G($H15:Z15,$H$9:Z$9,csg_table,E$9,F15)</f>
        <v>0.7941818181818182</v>
      </c>
      <c r="H15" s="32">
        <v>2</v>
      </c>
      <c r="I15" s="32">
        <v>7</v>
      </c>
      <c r="J15" s="32">
        <v>3</v>
      </c>
      <c r="K15" s="32">
        <v>3</v>
      </c>
      <c r="L15" s="32">
        <v>6</v>
      </c>
      <c r="M15" s="32">
        <v>1</v>
      </c>
      <c r="N15" s="32">
        <v>2</v>
      </c>
      <c r="O15" s="32">
        <v>5</v>
      </c>
      <c r="P15" s="32">
        <v>9</v>
      </c>
      <c r="Q15" s="32">
        <v>5</v>
      </c>
      <c r="R15" s="32">
        <v>8</v>
      </c>
      <c r="S15" s="32">
        <v>9</v>
      </c>
      <c r="T15" s="32">
        <v>6</v>
      </c>
      <c r="U15" s="32">
        <v>4</v>
      </c>
      <c r="V15" s="32">
        <v>4</v>
      </c>
      <c r="W15" s="32">
        <v>4</v>
      </c>
      <c r="X15" s="32">
        <v>5</v>
      </c>
      <c r="Y15" s="32">
        <v>6</v>
      </c>
    </row>
    <row r="16" spans="2:25" ht="11.25">
      <c r="B16" s="27">
        <v>6</v>
      </c>
      <c r="C16" s="40">
        <v>427</v>
      </c>
      <c r="D16" s="39" t="s">
        <v>774</v>
      </c>
      <c r="E16" s="69">
        <f t="shared" si="0"/>
        <v>14</v>
      </c>
      <c r="F16" s="32">
        <v>0</v>
      </c>
      <c r="G16" s="215">
        <f>C_S_G($H16:Z16,$H$9:Z$9,csg_table,E$9,F16)</f>
        <v>0.7345971563981043</v>
      </c>
      <c r="H16" s="32">
        <v>4</v>
      </c>
      <c r="I16" s="32">
        <v>6</v>
      </c>
      <c r="J16" s="32">
        <v>9</v>
      </c>
      <c r="K16" s="32">
        <v>8</v>
      </c>
      <c r="L16" s="32">
        <v>2</v>
      </c>
      <c r="M16" s="32">
        <v>4</v>
      </c>
      <c r="N16" s="32">
        <v>7</v>
      </c>
      <c r="O16" s="32">
        <v>8</v>
      </c>
      <c r="P16" s="32"/>
      <c r="Q16" s="32"/>
      <c r="R16" s="32"/>
      <c r="S16" s="32"/>
      <c r="T16" s="32">
        <v>2</v>
      </c>
      <c r="U16" s="32">
        <v>7</v>
      </c>
      <c r="V16" s="32">
        <v>12</v>
      </c>
      <c r="W16" s="32">
        <v>8</v>
      </c>
      <c r="X16" s="32">
        <v>7</v>
      </c>
      <c r="Y16" s="32">
        <v>8</v>
      </c>
    </row>
    <row r="17" spans="2:25" ht="11.25">
      <c r="B17" s="27">
        <v>7</v>
      </c>
      <c r="C17" s="40">
        <v>1159</v>
      </c>
      <c r="D17" s="39"/>
      <c r="E17" s="69">
        <f t="shared" si="0"/>
        <v>9</v>
      </c>
      <c r="F17" s="32">
        <v>0</v>
      </c>
      <c r="G17" s="215">
        <f>C_S_G($H17:Z17,$H$9:Z$9,csg_table,E$9,F17)</f>
        <v>0.7306122448979592</v>
      </c>
      <c r="H17" s="32"/>
      <c r="I17" s="32"/>
      <c r="J17" s="32"/>
      <c r="K17" s="32"/>
      <c r="L17" s="32">
        <v>3</v>
      </c>
      <c r="M17" s="32">
        <v>6</v>
      </c>
      <c r="N17" s="32"/>
      <c r="O17" s="32"/>
      <c r="P17" s="32" t="s">
        <v>299</v>
      </c>
      <c r="Q17" s="32">
        <v>10</v>
      </c>
      <c r="R17" s="32">
        <v>9</v>
      </c>
      <c r="S17" s="32">
        <v>8</v>
      </c>
      <c r="T17" s="32">
        <v>10</v>
      </c>
      <c r="U17" s="32">
        <v>9</v>
      </c>
      <c r="V17" s="32">
        <v>2</v>
      </c>
      <c r="W17" s="32"/>
      <c r="X17" s="32"/>
      <c r="Y17" s="32"/>
    </row>
    <row r="18" spans="2:25" ht="11.25">
      <c r="B18" s="27">
        <v>8</v>
      </c>
      <c r="C18" s="50">
        <v>188</v>
      </c>
      <c r="D18" s="60"/>
      <c r="E18" s="213">
        <f t="shared" si="0"/>
        <v>11</v>
      </c>
      <c r="F18" s="34">
        <v>0</v>
      </c>
      <c r="G18" s="216">
        <f>C_S_G($H18:Z18,$H$9:Z$9,csg_table,E$9,F18)</f>
        <v>0.6942242355605889</v>
      </c>
      <c r="H18" s="34"/>
      <c r="I18" s="34"/>
      <c r="J18" s="34">
        <v>8</v>
      </c>
      <c r="K18" s="34">
        <v>9</v>
      </c>
      <c r="L18" s="34">
        <v>8</v>
      </c>
      <c r="M18" s="34">
        <v>5</v>
      </c>
      <c r="N18" s="34"/>
      <c r="O18" s="34"/>
      <c r="P18" s="34">
        <v>5</v>
      </c>
      <c r="Q18" s="34">
        <v>9</v>
      </c>
      <c r="R18" s="34">
        <v>10</v>
      </c>
      <c r="S18" s="34">
        <v>7</v>
      </c>
      <c r="T18" s="34">
        <v>9</v>
      </c>
      <c r="U18" s="34">
        <v>13</v>
      </c>
      <c r="V18" s="34">
        <v>9</v>
      </c>
      <c r="W18" s="34"/>
      <c r="X18" s="34"/>
      <c r="Y18" s="34"/>
    </row>
    <row r="19" spans="3:25" ht="11.25">
      <c r="C19" s="38">
        <v>1153</v>
      </c>
      <c r="D19" s="37"/>
      <c r="E19" s="212">
        <f t="shared" si="0"/>
        <v>7</v>
      </c>
      <c r="F19" s="48">
        <v>0</v>
      </c>
      <c r="G19" s="214">
        <f>C_S_G($H19:Z19,$H$9:Z$9,csg_table,E$9,F19)</f>
        <v>0.868824531516184</v>
      </c>
      <c r="H19" s="48"/>
      <c r="I19" s="48"/>
      <c r="J19" s="48"/>
      <c r="K19" s="48"/>
      <c r="L19" s="48"/>
      <c r="M19" s="48"/>
      <c r="N19" s="48"/>
      <c r="O19" s="48"/>
      <c r="P19" s="48">
        <v>3</v>
      </c>
      <c r="Q19" s="48">
        <v>3</v>
      </c>
      <c r="R19" s="48">
        <v>1</v>
      </c>
      <c r="S19" s="48">
        <v>3</v>
      </c>
      <c r="T19" s="48">
        <v>1</v>
      </c>
      <c r="U19" s="48">
        <v>5</v>
      </c>
      <c r="V19" s="48">
        <v>11</v>
      </c>
      <c r="W19" s="48"/>
      <c r="X19" s="48"/>
      <c r="Y19" s="48"/>
    </row>
    <row r="20" spans="3:25" ht="11.25">
      <c r="C20" s="40">
        <v>1012</v>
      </c>
      <c r="D20" s="39"/>
      <c r="E20" s="69">
        <f t="shared" si="0"/>
        <v>7</v>
      </c>
      <c r="F20" s="32">
        <v>0</v>
      </c>
      <c r="G20" s="215">
        <f>C_S_G($H20:Z20,$H$9:Z$9,csg_table,E$9,F20)</f>
        <v>0.8160136286201022</v>
      </c>
      <c r="H20" s="32"/>
      <c r="I20" s="32"/>
      <c r="J20" s="32"/>
      <c r="K20" s="32"/>
      <c r="L20" s="32"/>
      <c r="M20" s="32"/>
      <c r="N20" s="32"/>
      <c r="O20" s="32"/>
      <c r="P20" s="32">
        <v>8</v>
      </c>
      <c r="Q20" s="32">
        <v>1</v>
      </c>
      <c r="R20" s="32">
        <v>2</v>
      </c>
      <c r="S20" s="32">
        <v>5</v>
      </c>
      <c r="T20" s="32">
        <v>5</v>
      </c>
      <c r="U20" s="32">
        <v>8</v>
      </c>
      <c r="V20" s="32">
        <v>6</v>
      </c>
      <c r="W20" s="32"/>
      <c r="X20" s="32"/>
      <c r="Y20" s="32"/>
    </row>
    <row r="21" spans="3:25" ht="11.25">
      <c r="C21" s="40">
        <v>880</v>
      </c>
      <c r="D21" s="39"/>
      <c r="E21" s="69">
        <f t="shared" si="0"/>
        <v>7</v>
      </c>
      <c r="F21" s="32">
        <v>0</v>
      </c>
      <c r="G21" s="215">
        <f>C_S_G($H21:Z21,$H$9:Z$9,csg_table,E$9,F21)</f>
        <v>0.7819420783645656</v>
      </c>
      <c r="H21" s="32"/>
      <c r="I21" s="32"/>
      <c r="J21" s="32"/>
      <c r="K21" s="32"/>
      <c r="L21" s="32"/>
      <c r="M21" s="32"/>
      <c r="N21" s="32"/>
      <c r="O21" s="32"/>
      <c r="P21" s="32">
        <v>6</v>
      </c>
      <c r="Q21" s="32">
        <v>7</v>
      </c>
      <c r="R21" s="32">
        <v>3</v>
      </c>
      <c r="S21" s="32">
        <v>4</v>
      </c>
      <c r="T21" s="32">
        <v>11</v>
      </c>
      <c r="U21" s="32">
        <v>2</v>
      </c>
      <c r="V21" s="32">
        <v>10</v>
      </c>
      <c r="W21" s="32"/>
      <c r="X21" s="32"/>
      <c r="Y21" s="32"/>
    </row>
    <row r="22" spans="3:25" ht="11.25">
      <c r="C22" s="40">
        <v>446</v>
      </c>
      <c r="D22" s="39"/>
      <c r="E22" s="69">
        <f t="shared" si="0"/>
        <v>7</v>
      </c>
      <c r="F22" s="32">
        <v>0</v>
      </c>
      <c r="G22" s="215">
        <f>C_S_G($H22:Z22,$H$9:Z$9,csg_table,E$9,F22)</f>
        <v>0.7103918228279387</v>
      </c>
      <c r="H22" s="32"/>
      <c r="I22" s="32"/>
      <c r="J22" s="32"/>
      <c r="K22" s="32"/>
      <c r="L22" s="32"/>
      <c r="M22" s="32"/>
      <c r="N22" s="32"/>
      <c r="O22" s="32"/>
      <c r="P22" s="32">
        <v>7</v>
      </c>
      <c r="Q22" s="32">
        <v>6</v>
      </c>
      <c r="R22" s="32">
        <v>6</v>
      </c>
      <c r="S22" s="32">
        <v>6</v>
      </c>
      <c r="T22" s="32">
        <v>13</v>
      </c>
      <c r="U22" s="32">
        <v>12</v>
      </c>
      <c r="V22" s="32">
        <v>7</v>
      </c>
      <c r="W22" s="32"/>
      <c r="X22" s="32"/>
      <c r="Y22" s="32"/>
    </row>
    <row r="23" spans="3:25" ht="11.25">
      <c r="C23" s="40">
        <v>1303</v>
      </c>
      <c r="D23" s="39"/>
      <c r="E23" s="69">
        <f t="shared" si="0"/>
        <v>7</v>
      </c>
      <c r="F23" s="32">
        <v>0</v>
      </c>
      <c r="G23" s="215">
        <f>C_S_G($H23:Z23,$H$9:Z$9,csg_table,E$9,F23)</f>
        <v>0.9552845528455285</v>
      </c>
      <c r="H23" s="32">
        <v>1</v>
      </c>
      <c r="I23" s="32">
        <v>1</v>
      </c>
      <c r="J23" s="32"/>
      <c r="K23" s="32"/>
      <c r="L23" s="32"/>
      <c r="M23" s="32"/>
      <c r="N23" s="32">
        <v>1</v>
      </c>
      <c r="O23" s="32">
        <v>2</v>
      </c>
      <c r="P23" s="32"/>
      <c r="Q23" s="32"/>
      <c r="R23" s="32"/>
      <c r="S23" s="32"/>
      <c r="T23" s="32"/>
      <c r="U23" s="32"/>
      <c r="V23" s="32"/>
      <c r="W23" s="32">
        <v>3</v>
      </c>
      <c r="X23" s="32">
        <v>2</v>
      </c>
      <c r="Y23" s="32">
        <v>1</v>
      </c>
    </row>
    <row r="24" spans="3:25" ht="11.25">
      <c r="C24" s="40">
        <v>1074</v>
      </c>
      <c r="D24" s="39"/>
      <c r="E24" s="69">
        <f t="shared" si="0"/>
        <v>7</v>
      </c>
      <c r="F24" s="32">
        <v>0</v>
      </c>
      <c r="G24" s="215">
        <f>C_S_G($H24:Z24,$H$9:Z$9,csg_table,E$9,F24)</f>
        <v>0.8035714285714286</v>
      </c>
      <c r="H24" s="32"/>
      <c r="I24" s="32"/>
      <c r="J24" s="32"/>
      <c r="K24" s="32"/>
      <c r="L24" s="32">
        <v>5</v>
      </c>
      <c r="M24" s="32">
        <v>3</v>
      </c>
      <c r="N24" s="32">
        <v>6</v>
      </c>
      <c r="O24" s="32">
        <v>7</v>
      </c>
      <c r="P24" s="32"/>
      <c r="Q24" s="32"/>
      <c r="R24" s="32"/>
      <c r="S24" s="32"/>
      <c r="T24" s="32"/>
      <c r="U24" s="32"/>
      <c r="V24" s="32"/>
      <c r="W24" s="32">
        <v>1</v>
      </c>
      <c r="X24" s="32">
        <v>8</v>
      </c>
      <c r="Y24" s="32">
        <v>2</v>
      </c>
    </row>
    <row r="25" spans="3:25" ht="11.25">
      <c r="C25" s="40">
        <v>1212</v>
      </c>
      <c r="D25" s="39"/>
      <c r="E25" s="69">
        <f t="shared" si="0"/>
        <v>3</v>
      </c>
      <c r="F25" s="32">
        <f>MIN(INT(E25/10),3)</f>
        <v>0</v>
      </c>
      <c r="G25" s="215">
        <f>C_S_G($H25:Z25,$H$9:Z$9,csg_table,E$9,F25)</f>
        <v>0.7415730337078652</v>
      </c>
      <c r="H25" s="32"/>
      <c r="I25" s="32"/>
      <c r="J25" s="32"/>
      <c r="K25" s="32"/>
      <c r="L25" s="32"/>
      <c r="M25" s="32"/>
      <c r="N25" s="32"/>
      <c r="O25" s="32"/>
      <c r="P25" s="32"/>
      <c r="Q25" s="32"/>
      <c r="R25" s="32"/>
      <c r="S25" s="32"/>
      <c r="T25" s="32">
        <v>8</v>
      </c>
      <c r="U25" s="32">
        <v>10</v>
      </c>
      <c r="V25" s="32">
        <v>5</v>
      </c>
      <c r="W25" s="32"/>
      <c r="X25" s="32"/>
      <c r="Y25" s="32"/>
    </row>
    <row r="26" spans="3:25" ht="11.25">
      <c r="C26" s="40">
        <v>1206</v>
      </c>
      <c r="D26" s="39"/>
      <c r="E26" s="69">
        <f t="shared" si="0"/>
        <v>2</v>
      </c>
      <c r="F26" s="32">
        <v>0</v>
      </c>
      <c r="G26" s="215">
        <f>C_S_G($H26:Z26,$H$9:Z$9,csg_table,E$9,F26)</f>
        <v>0.6555555555555556</v>
      </c>
      <c r="H26" s="32"/>
      <c r="I26" s="32"/>
      <c r="J26" s="32"/>
      <c r="K26" s="32"/>
      <c r="L26" s="32"/>
      <c r="M26" s="32"/>
      <c r="N26" s="32"/>
      <c r="O26" s="32"/>
      <c r="P26" s="32"/>
      <c r="Q26" s="32"/>
      <c r="R26" s="32"/>
      <c r="S26" s="32"/>
      <c r="T26" s="32">
        <v>12</v>
      </c>
      <c r="U26" s="32">
        <v>11</v>
      </c>
      <c r="V26" s="32"/>
      <c r="W26" s="32"/>
      <c r="X26" s="32"/>
      <c r="Y26" s="32"/>
    </row>
    <row r="27" spans="3:25" ht="11.25">
      <c r="C27" s="40">
        <v>1073</v>
      </c>
      <c r="D27" s="39"/>
      <c r="E27" s="69">
        <f t="shared" si="0"/>
        <v>2</v>
      </c>
      <c r="F27" s="32">
        <f>MIN(INT(E27/10),3)</f>
        <v>0</v>
      </c>
      <c r="G27" s="215">
        <f>C_S_G($H27:Z27,$H$9:Z$9,csg_table,E$9,F27)</f>
        <v>1</v>
      </c>
      <c r="H27" s="32"/>
      <c r="I27" s="32"/>
      <c r="J27" s="32">
        <v>1</v>
      </c>
      <c r="K27" s="32">
        <v>1</v>
      </c>
      <c r="L27" s="32"/>
      <c r="M27" s="32"/>
      <c r="N27" s="32"/>
      <c r="O27" s="32"/>
      <c r="P27" s="32"/>
      <c r="Q27" s="32"/>
      <c r="R27" s="32"/>
      <c r="S27" s="32"/>
      <c r="T27" s="32"/>
      <c r="U27" s="32"/>
      <c r="V27" s="32"/>
      <c r="W27" s="32"/>
      <c r="X27" s="32"/>
      <c r="Y27" s="32"/>
    </row>
    <row r="28" spans="3:25" ht="11.25">
      <c r="C28" s="50">
        <v>1263</v>
      </c>
      <c r="D28" s="60"/>
      <c r="E28" s="213">
        <f t="shared" si="0"/>
        <v>2</v>
      </c>
      <c r="F28" s="34">
        <f>MIN(INT(E28/10),3)</f>
        <v>0</v>
      </c>
      <c r="G28" s="216">
        <f>C_S_G($H28:Z28,$H$9:Z$9,csg_table,E$9,F28)</f>
        <v>0.7105263157894737</v>
      </c>
      <c r="H28" s="34"/>
      <c r="I28" s="34"/>
      <c r="J28" s="34">
        <v>7</v>
      </c>
      <c r="K28" s="34">
        <v>7</v>
      </c>
      <c r="L28" s="34"/>
      <c r="M28" s="34"/>
      <c r="N28" s="34"/>
      <c r="O28" s="34"/>
      <c r="P28" s="34"/>
      <c r="Q28" s="34"/>
      <c r="R28" s="34"/>
      <c r="S28" s="34"/>
      <c r="T28" s="34"/>
      <c r="U28" s="34"/>
      <c r="V28" s="34"/>
      <c r="W28" s="34"/>
      <c r="X28" s="34"/>
      <c r="Y28" s="34"/>
    </row>
    <row r="30" ht="11.25">
      <c r="D30" s="27" t="s">
        <v>730</v>
      </c>
    </row>
    <row r="31" ht="11.25">
      <c r="D31" s="27" t="s">
        <v>731</v>
      </c>
    </row>
    <row r="32" ht="11.25">
      <c r="D32" s="27" t="s">
        <v>732</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1"/>
  <dimension ref="A1:AQ37"/>
  <sheetViews>
    <sheetView zoomScalePageLayoutView="0" workbookViewId="0" topLeftCell="A1">
      <selection activeCell="D5" sqref="D5"/>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33" width="4.140625" style="27" customWidth="1"/>
    <col min="34" max="35" width="4.140625" style="24" customWidth="1"/>
    <col min="36" max="36" width="4.28125" style="27" customWidth="1"/>
    <col min="37" max="39" width="4.28125" style="150" customWidth="1"/>
    <col min="40" max="40" width="9.140625" style="150" customWidth="1"/>
    <col min="41" max="16384" width="9.140625" style="27" customWidth="1"/>
  </cols>
  <sheetData>
    <row r="1" ht="11.25">
      <c r="A1" s="27" t="s">
        <v>191</v>
      </c>
    </row>
    <row r="2" ht="15.75">
      <c r="D2" s="71" t="s">
        <v>13</v>
      </c>
    </row>
    <row r="3" ht="11.25">
      <c r="D3" s="27" t="s">
        <v>819</v>
      </c>
    </row>
    <row r="4" spans="8:43" ht="11.25">
      <c r="H4" s="318" t="s">
        <v>301</v>
      </c>
      <c r="I4" s="319"/>
      <c r="J4" s="319"/>
      <c r="K4" s="319"/>
      <c r="L4" s="319"/>
      <c r="M4" s="29"/>
      <c r="N4" s="29"/>
      <c r="O4" s="29"/>
      <c r="P4" s="29"/>
      <c r="Q4" s="29"/>
      <c r="R4" s="29"/>
      <c r="S4" s="29"/>
      <c r="T4" s="29"/>
      <c r="U4" s="29"/>
      <c r="V4" s="29"/>
      <c r="W4" s="29"/>
      <c r="X4" s="29"/>
      <c r="Y4" s="29"/>
      <c r="Z4" s="29"/>
      <c r="AA4" s="29"/>
      <c r="AB4" s="29"/>
      <c r="AC4" s="29"/>
      <c r="AD4" s="29"/>
      <c r="AE4" s="29"/>
      <c r="AF4" s="29"/>
      <c r="AG4" s="29"/>
      <c r="AH4" s="331"/>
      <c r="AI4" s="331"/>
      <c r="AJ4" s="29"/>
      <c r="AK4" s="29"/>
      <c r="AL4" s="29"/>
      <c r="AM4" s="30"/>
      <c r="AP4" s="104" t="s">
        <v>1110</v>
      </c>
      <c r="AQ4" s="104"/>
    </row>
    <row r="5" spans="4:40" ht="12.75" customHeight="1">
      <c r="D5" s="191"/>
      <c r="H5" s="41" t="s">
        <v>513</v>
      </c>
      <c r="I5" s="375" t="s">
        <v>899</v>
      </c>
      <c r="J5" s="376"/>
      <c r="K5" s="377"/>
      <c r="L5" s="380" t="s">
        <v>313</v>
      </c>
      <c r="M5" s="382"/>
      <c r="N5" s="380" t="s">
        <v>313</v>
      </c>
      <c r="O5" s="382"/>
      <c r="P5" s="380" t="s">
        <v>776</v>
      </c>
      <c r="Q5" s="381"/>
      <c r="R5" s="381"/>
      <c r="S5" s="381"/>
      <c r="T5" s="381"/>
      <c r="U5" s="381"/>
      <c r="V5" s="382"/>
      <c r="W5" s="380" t="s">
        <v>312</v>
      </c>
      <c r="X5" s="381"/>
      <c r="Y5" s="380" t="s">
        <v>788</v>
      </c>
      <c r="Z5" s="381"/>
      <c r="AA5" s="380" t="s">
        <v>789</v>
      </c>
      <c r="AB5" s="381"/>
      <c r="AC5" s="381"/>
      <c r="AD5" s="381"/>
      <c r="AE5" s="381"/>
      <c r="AF5" s="382"/>
      <c r="AH5" s="41"/>
      <c r="AI5" s="41"/>
      <c r="AJ5" s="39"/>
      <c r="AL5" s="27"/>
      <c r="AM5" s="27"/>
      <c r="AN5" s="27"/>
    </row>
    <row r="6" spans="3:40" ht="11.25">
      <c r="C6" s="37"/>
      <c r="D6" s="126"/>
      <c r="E6" s="105"/>
      <c r="F6" s="115"/>
      <c r="G6" s="310" t="s">
        <v>184</v>
      </c>
      <c r="H6" s="41"/>
      <c r="I6" s="41"/>
      <c r="J6" s="41"/>
      <c r="K6" s="41"/>
      <c r="L6" s="41"/>
      <c r="M6" s="41"/>
      <c r="N6" s="41" t="s">
        <v>295</v>
      </c>
      <c r="O6" s="41" t="s">
        <v>430</v>
      </c>
      <c r="P6" s="41"/>
      <c r="Q6" s="41"/>
      <c r="R6" s="41"/>
      <c r="S6" s="41"/>
      <c r="T6" s="53"/>
      <c r="U6" s="53"/>
      <c r="V6" s="53"/>
      <c r="W6" s="41"/>
      <c r="X6" s="53"/>
      <c r="Y6" s="41"/>
      <c r="Z6" s="50"/>
      <c r="AA6" s="50"/>
      <c r="AB6" s="50"/>
      <c r="AC6" s="50"/>
      <c r="AD6" s="50"/>
      <c r="AE6" s="50"/>
      <c r="AG6" s="150"/>
      <c r="AH6" s="41"/>
      <c r="AI6" s="41"/>
      <c r="AJ6" s="150"/>
      <c r="AK6" s="27"/>
      <c r="AL6" s="27"/>
      <c r="AM6" s="27"/>
      <c r="AN6" s="27"/>
    </row>
    <row r="7" spans="3:40" ht="12.75" customHeight="1">
      <c r="C7" s="39"/>
      <c r="D7" s="63"/>
      <c r="E7" s="56"/>
      <c r="F7" s="369" t="s">
        <v>185</v>
      </c>
      <c r="G7" s="370"/>
      <c r="H7" s="41"/>
      <c r="I7" s="41"/>
      <c r="J7" s="41"/>
      <c r="K7" s="41"/>
      <c r="L7" s="41"/>
      <c r="M7" s="41"/>
      <c r="N7" s="41">
        <v>350</v>
      </c>
      <c r="O7" s="41">
        <v>355</v>
      </c>
      <c r="P7" s="41"/>
      <c r="Q7" s="41"/>
      <c r="R7" s="41"/>
      <c r="S7" s="41"/>
      <c r="T7" s="53"/>
      <c r="U7" s="53"/>
      <c r="V7" s="53"/>
      <c r="W7" s="41"/>
      <c r="X7" s="53"/>
      <c r="Y7" s="41">
        <v>25</v>
      </c>
      <c r="Z7" s="41">
        <v>25</v>
      </c>
      <c r="AA7" s="41"/>
      <c r="AB7" s="41"/>
      <c r="AC7" s="41"/>
      <c r="AD7" s="41"/>
      <c r="AE7" s="41"/>
      <c r="AG7" s="150"/>
      <c r="AH7" s="41"/>
      <c r="AI7" s="41"/>
      <c r="AJ7" s="150"/>
      <c r="AK7" s="27"/>
      <c r="AL7" s="27"/>
      <c r="AM7" s="27"/>
      <c r="AN7" s="27"/>
    </row>
    <row r="8" spans="3:40" ht="12.75" customHeight="1">
      <c r="C8" s="39"/>
      <c r="D8" s="63"/>
      <c r="E8" s="56"/>
      <c r="F8" s="369" t="s">
        <v>186</v>
      </c>
      <c r="G8" s="370"/>
      <c r="H8" s="43"/>
      <c r="I8" s="43"/>
      <c r="J8" s="43"/>
      <c r="K8" s="43"/>
      <c r="L8" s="43"/>
      <c r="M8" s="43"/>
      <c r="N8" s="43">
        <v>10</v>
      </c>
      <c r="O8" s="43">
        <v>10</v>
      </c>
      <c r="P8" s="43"/>
      <c r="Q8" s="43"/>
      <c r="R8" s="43"/>
      <c r="S8" s="43"/>
      <c r="T8" s="305"/>
      <c r="U8" s="305"/>
      <c r="V8" s="305"/>
      <c r="W8" s="41"/>
      <c r="X8" s="305"/>
      <c r="Y8" s="41">
        <v>15</v>
      </c>
      <c r="Z8" s="41">
        <v>18</v>
      </c>
      <c r="AA8" s="41"/>
      <c r="AB8" s="41"/>
      <c r="AC8" s="41"/>
      <c r="AD8" s="41"/>
      <c r="AE8" s="41"/>
      <c r="AG8" s="150"/>
      <c r="AH8" s="41"/>
      <c r="AI8" s="41"/>
      <c r="AJ8" s="150"/>
      <c r="AK8" s="27"/>
      <c r="AL8" s="27"/>
      <c r="AM8" s="27"/>
      <c r="AN8" s="27"/>
    </row>
    <row r="9" spans="3:40" ht="12.75" customHeight="1">
      <c r="C9" s="60"/>
      <c r="D9" s="127"/>
      <c r="E9" s="56">
        <f>COUNTIF($H9:AE9,"&gt;=0")</f>
        <v>24</v>
      </c>
      <c r="F9" s="371" t="s">
        <v>187</v>
      </c>
      <c r="G9" s="372"/>
      <c r="H9" s="41">
        <v>10</v>
      </c>
      <c r="I9" s="41">
        <v>8</v>
      </c>
      <c r="J9" s="41">
        <v>8</v>
      </c>
      <c r="K9" s="41">
        <v>8</v>
      </c>
      <c r="L9" s="41">
        <v>6</v>
      </c>
      <c r="M9" s="41">
        <v>6</v>
      </c>
      <c r="N9" s="41">
        <v>5</v>
      </c>
      <c r="O9" s="41">
        <v>5</v>
      </c>
      <c r="P9" s="41">
        <v>10</v>
      </c>
      <c r="Q9" s="41">
        <v>10</v>
      </c>
      <c r="R9" s="41">
        <v>10</v>
      </c>
      <c r="S9" s="41">
        <v>8</v>
      </c>
      <c r="T9" s="53">
        <v>9</v>
      </c>
      <c r="U9" s="53">
        <v>9</v>
      </c>
      <c r="V9" s="53">
        <v>9</v>
      </c>
      <c r="W9" s="41">
        <v>5</v>
      </c>
      <c r="X9" s="53">
        <v>5</v>
      </c>
      <c r="Y9" s="41">
        <v>10</v>
      </c>
      <c r="Z9" s="41">
        <v>10</v>
      </c>
      <c r="AA9" s="41">
        <v>8</v>
      </c>
      <c r="AB9" s="41">
        <v>8</v>
      </c>
      <c r="AC9" s="41">
        <v>8</v>
      </c>
      <c r="AD9" s="41">
        <v>6</v>
      </c>
      <c r="AE9" s="41">
        <v>6</v>
      </c>
      <c r="AG9" s="150"/>
      <c r="AH9" s="41"/>
      <c r="AI9" s="41">
        <v>6</v>
      </c>
      <c r="AJ9" s="150"/>
      <c r="AK9" s="27"/>
      <c r="AL9" s="27"/>
      <c r="AM9" s="27"/>
      <c r="AN9" s="27"/>
    </row>
    <row r="10" spans="3:40" ht="81">
      <c r="C10" s="41" t="s">
        <v>451</v>
      </c>
      <c r="D10" s="201" t="s">
        <v>422</v>
      </c>
      <c r="E10" s="36" t="s">
        <v>188</v>
      </c>
      <c r="F10" s="36" t="s">
        <v>189</v>
      </c>
      <c r="G10" s="151" t="s">
        <v>190</v>
      </c>
      <c r="H10" s="36">
        <v>38203</v>
      </c>
      <c r="I10" s="36">
        <v>39305</v>
      </c>
      <c r="J10" s="36">
        <v>39305</v>
      </c>
      <c r="K10" s="36">
        <v>39305</v>
      </c>
      <c r="L10" s="36">
        <v>38224</v>
      </c>
      <c r="M10" s="36">
        <v>39319</v>
      </c>
      <c r="N10" s="36">
        <v>38231</v>
      </c>
      <c r="O10" s="36">
        <v>39326</v>
      </c>
      <c r="P10" s="36">
        <v>38238</v>
      </c>
      <c r="Q10" s="36">
        <v>38238</v>
      </c>
      <c r="R10" s="36">
        <v>39333</v>
      </c>
      <c r="S10" s="36">
        <v>39333</v>
      </c>
      <c r="T10" s="36">
        <v>39334</v>
      </c>
      <c r="U10" s="36">
        <v>39334</v>
      </c>
      <c r="V10" s="36">
        <v>39334</v>
      </c>
      <c r="W10" s="36">
        <v>38245</v>
      </c>
      <c r="X10" s="36">
        <v>39340</v>
      </c>
      <c r="Y10" s="36">
        <v>38259</v>
      </c>
      <c r="Z10" s="36">
        <v>39354</v>
      </c>
      <c r="AA10" s="36">
        <v>38267</v>
      </c>
      <c r="AB10" s="36">
        <v>39362</v>
      </c>
      <c r="AC10" s="36">
        <v>39362</v>
      </c>
      <c r="AD10" s="36">
        <v>39363</v>
      </c>
      <c r="AE10" s="36">
        <v>38268</v>
      </c>
      <c r="AG10" s="150"/>
      <c r="AH10" s="334" t="s">
        <v>742</v>
      </c>
      <c r="AI10" s="335" t="s">
        <v>1157</v>
      </c>
      <c r="AJ10" s="150"/>
      <c r="AK10" s="27"/>
      <c r="AL10" s="27"/>
      <c r="AM10" s="27"/>
      <c r="AN10" s="27"/>
    </row>
    <row r="11" spans="2:40" ht="11.25">
      <c r="B11" s="27">
        <v>1</v>
      </c>
      <c r="C11" s="40">
        <v>23</v>
      </c>
      <c r="D11" s="39" t="s">
        <v>684</v>
      </c>
      <c r="E11" s="32">
        <f>COUNTA(H11:AG11)</f>
        <v>12</v>
      </c>
      <c r="F11" s="32">
        <f aca="true" t="shared" si="0" ref="F11:F29">MIN(INT(E11/10),3)</f>
        <v>1</v>
      </c>
      <c r="G11" s="33">
        <f>C_S_G($H11:AE11,$H$9:AE$9,csg_table,E$9,F11)</f>
        <v>0.9382022471910112</v>
      </c>
      <c r="H11" s="32">
        <v>4</v>
      </c>
      <c r="I11" s="32"/>
      <c r="J11" s="32"/>
      <c r="K11" s="32"/>
      <c r="L11" s="32"/>
      <c r="M11" s="32"/>
      <c r="N11" s="32">
        <v>2</v>
      </c>
      <c r="O11" s="32">
        <v>1</v>
      </c>
      <c r="P11" s="32"/>
      <c r="Q11" s="32"/>
      <c r="R11" s="32"/>
      <c r="S11" s="32"/>
      <c r="T11" s="218"/>
      <c r="U11" s="218"/>
      <c r="V11" s="218"/>
      <c r="W11" s="32">
        <v>1</v>
      </c>
      <c r="X11" s="218">
        <v>1</v>
      </c>
      <c r="Y11" s="32">
        <v>1</v>
      </c>
      <c r="Z11" s="32">
        <v>3</v>
      </c>
      <c r="AA11" s="32">
        <v>4</v>
      </c>
      <c r="AB11" s="32">
        <v>1</v>
      </c>
      <c r="AC11" s="32">
        <v>1</v>
      </c>
      <c r="AD11" s="32">
        <v>2</v>
      </c>
      <c r="AE11" s="32">
        <v>3</v>
      </c>
      <c r="AG11" s="150"/>
      <c r="AH11" s="41">
        <v>7</v>
      </c>
      <c r="AI11" s="41"/>
      <c r="AJ11" s="150"/>
      <c r="AK11" s="27"/>
      <c r="AL11" s="27"/>
      <c r="AM11" s="27"/>
      <c r="AN11" s="27"/>
    </row>
    <row r="12" spans="2:40" ht="11.25">
      <c r="B12" s="27">
        <v>2</v>
      </c>
      <c r="C12" s="40">
        <v>25</v>
      </c>
      <c r="D12" s="39" t="s">
        <v>357</v>
      </c>
      <c r="E12" s="32">
        <f>COUNTA(H12:AG12)</f>
        <v>22</v>
      </c>
      <c r="F12" s="32">
        <f t="shared" si="0"/>
        <v>2</v>
      </c>
      <c r="G12" s="33">
        <f>C_S_G($H12:AE12,$H$9:AE$9,csg_table,E$9,F12)</f>
        <v>0.9230769230769231</v>
      </c>
      <c r="H12" s="32">
        <v>5</v>
      </c>
      <c r="I12" s="32">
        <v>3</v>
      </c>
      <c r="J12" s="32">
        <v>4</v>
      </c>
      <c r="K12" s="32">
        <v>2</v>
      </c>
      <c r="L12" s="32">
        <v>1</v>
      </c>
      <c r="M12" s="32">
        <v>1</v>
      </c>
      <c r="N12" s="32"/>
      <c r="O12" s="32"/>
      <c r="P12" s="32">
        <v>4</v>
      </c>
      <c r="Q12" s="32">
        <v>1</v>
      </c>
      <c r="R12" s="32">
        <v>4</v>
      </c>
      <c r="S12" s="32">
        <v>8</v>
      </c>
      <c r="T12" s="218">
        <v>1</v>
      </c>
      <c r="U12" s="218">
        <v>1</v>
      </c>
      <c r="V12" s="218">
        <v>1</v>
      </c>
      <c r="W12" s="32">
        <v>2</v>
      </c>
      <c r="X12" s="218">
        <v>2</v>
      </c>
      <c r="Y12" s="32">
        <v>2</v>
      </c>
      <c r="Z12" s="32">
        <v>1</v>
      </c>
      <c r="AA12" s="32">
        <v>3</v>
      </c>
      <c r="AB12" s="32">
        <v>3</v>
      </c>
      <c r="AC12" s="32">
        <v>2</v>
      </c>
      <c r="AD12" s="32">
        <v>1</v>
      </c>
      <c r="AE12" s="32">
        <v>3</v>
      </c>
      <c r="AG12" s="150"/>
      <c r="AH12" s="41"/>
      <c r="AI12" s="41"/>
      <c r="AJ12" s="150"/>
      <c r="AK12" s="27"/>
      <c r="AL12" s="27"/>
      <c r="AM12" s="27"/>
      <c r="AN12" s="27"/>
    </row>
    <row r="13" spans="2:40" ht="11.25">
      <c r="B13" s="27">
        <v>3</v>
      </c>
      <c r="C13" s="40">
        <v>182</v>
      </c>
      <c r="D13" s="39" t="s">
        <v>359</v>
      </c>
      <c r="E13" s="32">
        <v>10</v>
      </c>
      <c r="F13" s="32">
        <f t="shared" si="0"/>
        <v>1</v>
      </c>
      <c r="G13" s="33">
        <f>C_S_G($H13:AE13,$H$9:AE$9,csg_table,E$9,F13)</f>
        <v>0.8495934959349594</v>
      </c>
      <c r="H13" s="32"/>
      <c r="I13" s="32">
        <v>2</v>
      </c>
      <c r="J13" s="32">
        <v>1</v>
      </c>
      <c r="K13" s="32">
        <v>5</v>
      </c>
      <c r="L13" s="32"/>
      <c r="M13" s="32"/>
      <c r="N13" s="32"/>
      <c r="O13" s="32"/>
      <c r="P13" s="32"/>
      <c r="Q13" s="32"/>
      <c r="R13" s="32"/>
      <c r="S13" s="32"/>
      <c r="T13" s="218"/>
      <c r="U13" s="218"/>
      <c r="V13" s="218"/>
      <c r="W13" s="32"/>
      <c r="X13" s="218"/>
      <c r="Y13" s="32"/>
      <c r="Z13" s="32"/>
      <c r="AA13" s="32">
        <v>5</v>
      </c>
      <c r="AB13" s="32">
        <v>4</v>
      </c>
      <c r="AC13" s="32">
        <v>3</v>
      </c>
      <c r="AD13" s="32">
        <v>3</v>
      </c>
      <c r="AE13" s="32">
        <v>5</v>
      </c>
      <c r="AF13" s="150"/>
      <c r="AG13" s="150"/>
      <c r="AH13" s="41">
        <v>7</v>
      </c>
      <c r="AI13" s="41"/>
      <c r="AJ13" s="150"/>
      <c r="AK13" s="27"/>
      <c r="AL13" s="27"/>
      <c r="AM13" s="27"/>
      <c r="AN13" s="27"/>
    </row>
    <row r="14" spans="2:40" ht="11.25">
      <c r="B14" s="27">
        <v>4</v>
      </c>
      <c r="C14" s="40">
        <v>176</v>
      </c>
      <c r="D14" s="39" t="s">
        <v>406</v>
      </c>
      <c r="E14" s="32">
        <f>COUNTA(H14:AG14)</f>
        <v>19</v>
      </c>
      <c r="F14" s="32">
        <f t="shared" si="0"/>
        <v>1</v>
      </c>
      <c r="G14" s="33">
        <f>C_S_G($H14:AE14,$H$9:AE$9,csg_table,E$9,F14)</f>
        <v>0.8271604938271605</v>
      </c>
      <c r="H14" s="32"/>
      <c r="I14" s="32">
        <v>5</v>
      </c>
      <c r="J14" s="32">
        <v>2</v>
      </c>
      <c r="K14" s="32">
        <v>6</v>
      </c>
      <c r="L14" s="32">
        <v>2</v>
      </c>
      <c r="M14" s="32">
        <v>5</v>
      </c>
      <c r="N14" s="32"/>
      <c r="O14" s="32"/>
      <c r="P14" s="32">
        <v>7</v>
      </c>
      <c r="Q14" s="32">
        <v>3</v>
      </c>
      <c r="R14" s="32">
        <v>6</v>
      </c>
      <c r="S14" s="32">
        <v>6</v>
      </c>
      <c r="T14" s="218" t="s">
        <v>517</v>
      </c>
      <c r="U14" s="218">
        <v>3</v>
      </c>
      <c r="V14" s="218">
        <v>2</v>
      </c>
      <c r="W14" s="32"/>
      <c r="X14" s="218"/>
      <c r="Y14" s="32">
        <v>3</v>
      </c>
      <c r="Z14" s="32">
        <v>2</v>
      </c>
      <c r="AA14" s="32">
        <v>2</v>
      </c>
      <c r="AB14" s="32">
        <v>5</v>
      </c>
      <c r="AC14" s="32">
        <v>5</v>
      </c>
      <c r="AD14" s="32">
        <v>4</v>
      </c>
      <c r="AE14" s="32">
        <v>1</v>
      </c>
      <c r="AG14" s="150"/>
      <c r="AH14" s="41"/>
      <c r="AI14" s="41"/>
      <c r="AJ14" s="150"/>
      <c r="AK14" s="27"/>
      <c r="AL14" s="27"/>
      <c r="AM14" s="27"/>
      <c r="AN14" s="27"/>
    </row>
    <row r="15" spans="2:40" ht="11.25">
      <c r="B15" s="27">
        <v>5</v>
      </c>
      <c r="C15" s="40">
        <v>197</v>
      </c>
      <c r="D15" s="39" t="s">
        <v>411</v>
      </c>
      <c r="E15" s="32">
        <f>COUNTA(H15:AG15)</f>
        <v>15</v>
      </c>
      <c r="F15" s="32">
        <f t="shared" si="0"/>
        <v>1</v>
      </c>
      <c r="G15" s="33">
        <f>C_S_G($H15:AE15,$H$9:AE$9,csg_table,E$9,F15)</f>
        <v>0.7936991869918699</v>
      </c>
      <c r="H15" s="32">
        <v>7</v>
      </c>
      <c r="I15" s="32"/>
      <c r="J15" s="32"/>
      <c r="K15" s="32"/>
      <c r="L15" s="32"/>
      <c r="M15" s="32"/>
      <c r="N15" s="32"/>
      <c r="O15" s="32"/>
      <c r="P15" s="32">
        <v>6</v>
      </c>
      <c r="Q15" s="32">
        <v>7</v>
      </c>
      <c r="R15" s="32">
        <v>2</v>
      </c>
      <c r="S15" s="32">
        <v>4</v>
      </c>
      <c r="T15" s="218">
        <v>8</v>
      </c>
      <c r="U15" s="218">
        <v>7</v>
      </c>
      <c r="V15" s="218">
        <v>7</v>
      </c>
      <c r="W15" s="32">
        <v>4</v>
      </c>
      <c r="X15" s="218">
        <v>3</v>
      </c>
      <c r="Y15" s="32"/>
      <c r="Z15" s="32"/>
      <c r="AA15" s="32">
        <v>1</v>
      </c>
      <c r="AB15" s="32">
        <v>2</v>
      </c>
      <c r="AC15" s="32">
        <v>4</v>
      </c>
      <c r="AD15" s="32">
        <v>5</v>
      </c>
      <c r="AE15" s="32">
        <v>4</v>
      </c>
      <c r="AG15" s="150"/>
      <c r="AH15" s="41"/>
      <c r="AI15" s="41"/>
      <c r="AJ15" s="150"/>
      <c r="AK15" s="27"/>
      <c r="AL15" s="27"/>
      <c r="AM15" s="27"/>
      <c r="AN15" s="27"/>
    </row>
    <row r="16" spans="2:40" ht="11.25">
      <c r="B16" s="27">
        <v>6</v>
      </c>
      <c r="C16" s="40">
        <v>221</v>
      </c>
      <c r="D16" s="39" t="s">
        <v>407</v>
      </c>
      <c r="E16" s="32">
        <f>COUNTA(H16:AG16)</f>
        <v>11</v>
      </c>
      <c r="F16" s="32">
        <f t="shared" si="0"/>
        <v>1</v>
      </c>
      <c r="G16" s="33">
        <f>C_S_G($K16:AE16,$H$9:AE$9,csg_table,E$9,F16)</f>
        <v>0.7772988505747126</v>
      </c>
      <c r="H16" s="32">
        <v>2</v>
      </c>
      <c r="I16" s="32">
        <v>1</v>
      </c>
      <c r="J16" s="32">
        <v>3</v>
      </c>
      <c r="K16" s="32">
        <v>1</v>
      </c>
      <c r="L16" s="32"/>
      <c r="M16" s="32"/>
      <c r="N16" s="32"/>
      <c r="O16" s="32"/>
      <c r="P16" s="32">
        <v>3</v>
      </c>
      <c r="Q16" s="32">
        <v>6</v>
      </c>
      <c r="R16" s="32">
        <v>5</v>
      </c>
      <c r="S16" s="32">
        <v>5</v>
      </c>
      <c r="T16" s="218">
        <v>4</v>
      </c>
      <c r="U16" s="218">
        <v>4</v>
      </c>
      <c r="V16" s="218">
        <v>4</v>
      </c>
      <c r="W16" s="32"/>
      <c r="X16" s="218"/>
      <c r="Y16" s="32"/>
      <c r="Z16" s="32"/>
      <c r="AA16" s="32"/>
      <c r="AB16" s="32"/>
      <c r="AC16" s="32"/>
      <c r="AD16" s="32"/>
      <c r="AE16" s="32"/>
      <c r="AG16" s="150"/>
      <c r="AH16" s="41">
        <v>7</v>
      </c>
      <c r="AI16" s="41"/>
      <c r="AJ16" s="150"/>
      <c r="AK16" s="27"/>
      <c r="AL16" s="27"/>
      <c r="AM16" s="27"/>
      <c r="AN16" s="27"/>
    </row>
    <row r="17" spans="2:40" ht="11.25">
      <c r="B17" s="27">
        <v>7</v>
      </c>
      <c r="C17" s="40">
        <v>142</v>
      </c>
      <c r="D17" s="39" t="s">
        <v>839</v>
      </c>
      <c r="E17" s="32">
        <f>COUNTA(H17:AI17)</f>
        <v>15</v>
      </c>
      <c r="F17" s="32">
        <f t="shared" si="0"/>
        <v>1</v>
      </c>
      <c r="G17" s="33">
        <f>C_S_G($H17:AE17,$H$9:AE$9,csg_table,E$9,F17)</f>
        <v>0.7477578475336323</v>
      </c>
      <c r="H17" s="32">
        <v>6</v>
      </c>
      <c r="I17" s="32">
        <v>7</v>
      </c>
      <c r="J17" s="32">
        <v>6</v>
      </c>
      <c r="K17" s="32">
        <v>3</v>
      </c>
      <c r="L17" s="32">
        <v>4</v>
      </c>
      <c r="M17" s="32">
        <v>4</v>
      </c>
      <c r="N17" s="32">
        <v>5</v>
      </c>
      <c r="O17" s="32">
        <v>4</v>
      </c>
      <c r="P17" s="32">
        <v>8</v>
      </c>
      <c r="Q17" s="32">
        <v>9</v>
      </c>
      <c r="R17" s="32">
        <v>9</v>
      </c>
      <c r="S17" s="32"/>
      <c r="T17" s="218"/>
      <c r="U17" s="218"/>
      <c r="V17" s="218"/>
      <c r="W17" s="32">
        <v>3</v>
      </c>
      <c r="X17" s="218"/>
      <c r="Y17" s="32">
        <v>5</v>
      </c>
      <c r="Z17" s="32">
        <v>5</v>
      </c>
      <c r="AA17" s="32"/>
      <c r="AB17" s="32"/>
      <c r="AC17" s="32"/>
      <c r="AD17" s="32"/>
      <c r="AE17" s="32"/>
      <c r="AG17" s="150"/>
      <c r="AH17" s="41"/>
      <c r="AI17" s="41">
        <v>1</v>
      </c>
      <c r="AJ17" s="150"/>
      <c r="AK17" s="27"/>
      <c r="AL17" s="27"/>
      <c r="AM17" s="27"/>
      <c r="AN17" s="27"/>
    </row>
    <row r="18" spans="2:40" ht="11.25">
      <c r="B18" s="27">
        <v>8</v>
      </c>
      <c r="C18" s="40">
        <v>54</v>
      </c>
      <c r="D18" s="39" t="s">
        <v>414</v>
      </c>
      <c r="E18" s="32">
        <f>COUNTA(H18:AI18)</f>
        <v>10</v>
      </c>
      <c r="F18" s="32">
        <f t="shared" si="0"/>
        <v>1</v>
      </c>
      <c r="G18" s="33">
        <f>C_S_G($H18:AE18,$H$9:AE$9,csg_table,E$9,F18)</f>
        <v>0.7455621301775148</v>
      </c>
      <c r="H18" s="32"/>
      <c r="I18" s="32"/>
      <c r="J18" s="32"/>
      <c r="K18" s="32"/>
      <c r="L18" s="32"/>
      <c r="M18" s="32"/>
      <c r="N18" s="32"/>
      <c r="O18" s="32"/>
      <c r="P18" s="32">
        <v>9</v>
      </c>
      <c r="Q18" s="32">
        <v>5</v>
      </c>
      <c r="R18" s="32">
        <v>7</v>
      </c>
      <c r="S18" s="32">
        <v>3</v>
      </c>
      <c r="T18" s="218">
        <v>7</v>
      </c>
      <c r="U18" s="218">
        <v>6</v>
      </c>
      <c r="V18" s="218">
        <v>5</v>
      </c>
      <c r="W18" s="32"/>
      <c r="X18" s="218"/>
      <c r="Y18" s="32"/>
      <c r="Z18" s="32"/>
      <c r="AA18" s="32">
        <v>7</v>
      </c>
      <c r="AB18" s="32">
        <v>6</v>
      </c>
      <c r="AC18" s="32">
        <v>7</v>
      </c>
      <c r="AD18" s="32"/>
      <c r="AE18" s="32"/>
      <c r="AG18" s="150"/>
      <c r="AH18" s="41"/>
      <c r="AI18" s="41"/>
      <c r="AJ18" s="150"/>
      <c r="AK18" s="27"/>
      <c r="AL18" s="27"/>
      <c r="AM18" s="27"/>
      <c r="AN18" s="27"/>
    </row>
    <row r="19" spans="2:35" s="150" customFormat="1" ht="11.25">
      <c r="B19" s="150">
        <v>9</v>
      </c>
      <c r="C19" s="40">
        <v>70</v>
      </c>
      <c r="D19" s="39" t="s">
        <v>837</v>
      </c>
      <c r="E19" s="32">
        <f>COUNTA(H19:AI19)</f>
        <v>13</v>
      </c>
      <c r="F19" s="32">
        <f t="shared" si="0"/>
        <v>1</v>
      </c>
      <c r="G19" s="33">
        <f>C_S_G($H19:AE19,$H$9:AE$9,csg_table,E$9,F19)</f>
        <v>0.7156398104265402</v>
      </c>
      <c r="H19" s="32" t="s">
        <v>299</v>
      </c>
      <c r="I19" s="32"/>
      <c r="J19" s="32"/>
      <c r="K19" s="32"/>
      <c r="L19" s="32"/>
      <c r="M19" s="32"/>
      <c r="N19" s="32"/>
      <c r="O19" s="32"/>
      <c r="P19" s="32">
        <v>5</v>
      </c>
      <c r="Q19" s="32">
        <v>8</v>
      </c>
      <c r="R19" s="32">
        <v>8</v>
      </c>
      <c r="S19" s="32"/>
      <c r="T19" s="218">
        <v>5</v>
      </c>
      <c r="U19" s="218">
        <v>8</v>
      </c>
      <c r="V19" s="218">
        <v>9</v>
      </c>
      <c r="W19" s="32"/>
      <c r="X19" s="218"/>
      <c r="Y19" s="32">
        <v>6</v>
      </c>
      <c r="Z19" s="32">
        <v>8</v>
      </c>
      <c r="AA19" s="32">
        <v>6</v>
      </c>
      <c r="AB19" s="32">
        <v>8</v>
      </c>
      <c r="AC19" s="32">
        <v>6</v>
      </c>
      <c r="AD19" s="32"/>
      <c r="AE19" s="32"/>
      <c r="AF19" s="27"/>
      <c r="AH19" s="41"/>
      <c r="AI19" s="41">
        <v>5</v>
      </c>
    </row>
    <row r="20" spans="2:40" ht="11.25">
      <c r="B20" s="27">
        <v>10</v>
      </c>
      <c r="C20" s="40">
        <v>106</v>
      </c>
      <c r="D20" s="39" t="s">
        <v>849</v>
      </c>
      <c r="E20" s="32">
        <f>COUNTA(H20:AI20)</f>
        <v>10</v>
      </c>
      <c r="F20" s="32">
        <f t="shared" si="0"/>
        <v>1</v>
      </c>
      <c r="G20" s="33">
        <f>C_S_G($H20:AE20,$H$9:AE$9,csg_table,E$9,F20)</f>
        <v>0.7077205882352942</v>
      </c>
      <c r="H20" s="32"/>
      <c r="I20" s="32"/>
      <c r="J20" s="32"/>
      <c r="K20" s="32"/>
      <c r="L20" s="32">
        <v>5</v>
      </c>
      <c r="M20" s="32">
        <v>3</v>
      </c>
      <c r="N20" s="32"/>
      <c r="O20" s="32"/>
      <c r="P20" s="32"/>
      <c r="Q20" s="32"/>
      <c r="R20" s="32"/>
      <c r="S20" s="32"/>
      <c r="T20" s="218"/>
      <c r="U20" s="218"/>
      <c r="V20" s="218"/>
      <c r="W20" s="32"/>
      <c r="X20" s="218"/>
      <c r="Y20" s="32">
        <v>8</v>
      </c>
      <c r="Z20" s="32">
        <v>7</v>
      </c>
      <c r="AA20" s="32">
        <v>8</v>
      </c>
      <c r="AB20" s="32">
        <v>7</v>
      </c>
      <c r="AC20" s="32">
        <v>8</v>
      </c>
      <c r="AD20" s="32">
        <v>6</v>
      </c>
      <c r="AE20" s="32">
        <v>6</v>
      </c>
      <c r="AG20" s="150"/>
      <c r="AH20" s="41"/>
      <c r="AI20" s="41">
        <v>2</v>
      </c>
      <c r="AJ20" s="150"/>
      <c r="AK20" s="27"/>
      <c r="AL20" s="27"/>
      <c r="AM20" s="27"/>
      <c r="AN20" s="27"/>
    </row>
    <row r="21" spans="2:35" s="150" customFormat="1" ht="11.25">
      <c r="B21" s="150">
        <v>11</v>
      </c>
      <c r="C21" s="40">
        <v>117</v>
      </c>
      <c r="D21" s="39" t="s">
        <v>781</v>
      </c>
      <c r="E21" s="32">
        <f>COUNTA(H21:AI21)</f>
        <v>12</v>
      </c>
      <c r="F21" s="32">
        <f t="shared" si="0"/>
        <v>1</v>
      </c>
      <c r="G21" s="33">
        <f>C_S_G($H21:AE21,$H$9:AE$9,csg_table,E$9,F21)</f>
        <v>0.6807692307692308</v>
      </c>
      <c r="H21" s="32"/>
      <c r="I21" s="32">
        <v>6</v>
      </c>
      <c r="J21" s="32">
        <v>7</v>
      </c>
      <c r="K21" s="32">
        <v>7</v>
      </c>
      <c r="L21" s="32"/>
      <c r="M21" s="32"/>
      <c r="N21" s="32">
        <v>4</v>
      </c>
      <c r="O21" s="32">
        <v>5</v>
      </c>
      <c r="P21" s="32">
        <v>10</v>
      </c>
      <c r="Q21" s="32">
        <v>10</v>
      </c>
      <c r="R21" s="32">
        <v>10</v>
      </c>
      <c r="S21" s="32">
        <v>7</v>
      </c>
      <c r="T21" s="218">
        <v>9</v>
      </c>
      <c r="U21" s="218">
        <v>9</v>
      </c>
      <c r="V21" s="218">
        <v>8</v>
      </c>
      <c r="W21" s="32"/>
      <c r="X21" s="218"/>
      <c r="Y21" s="32"/>
      <c r="Z21" s="32"/>
      <c r="AA21" s="32"/>
      <c r="AB21" s="32"/>
      <c r="AC21" s="32"/>
      <c r="AD21" s="32"/>
      <c r="AE21" s="32"/>
      <c r="AF21" s="27"/>
      <c r="AH21" s="38"/>
      <c r="AI21" s="38"/>
    </row>
    <row r="22" spans="2:40" ht="11.25">
      <c r="B22" s="27" t="s">
        <v>215</v>
      </c>
      <c r="C22" s="38">
        <v>26</v>
      </c>
      <c r="D22" s="37" t="s">
        <v>779</v>
      </c>
      <c r="E22" s="48">
        <f>COUNTA(H22:AG22)</f>
        <v>4</v>
      </c>
      <c r="F22" s="48">
        <f t="shared" si="0"/>
        <v>0</v>
      </c>
      <c r="G22" s="61">
        <f>C_S_G($H22:AE22,$H$9:AE$9,csg_table,E$9,F22)</f>
        <v>0.8934426229508197</v>
      </c>
      <c r="H22" s="48">
        <v>1</v>
      </c>
      <c r="I22" s="48"/>
      <c r="J22" s="48"/>
      <c r="K22" s="48"/>
      <c r="L22" s="48"/>
      <c r="M22" s="48"/>
      <c r="N22" s="48">
        <v>1</v>
      </c>
      <c r="O22" s="48">
        <v>2</v>
      </c>
      <c r="P22" s="48"/>
      <c r="Q22" s="48"/>
      <c r="R22" s="48"/>
      <c r="S22" s="48"/>
      <c r="T22" s="217"/>
      <c r="U22" s="217"/>
      <c r="V22" s="217"/>
      <c r="W22" s="48"/>
      <c r="X22" s="217" t="s">
        <v>299</v>
      </c>
      <c r="Y22" s="48"/>
      <c r="Z22" s="48"/>
      <c r="AA22" s="48"/>
      <c r="AB22" s="48"/>
      <c r="AC22" s="48"/>
      <c r="AD22" s="48"/>
      <c r="AE22" s="48"/>
      <c r="AF22" s="49"/>
      <c r="AG22" s="49"/>
      <c r="AH22" s="38"/>
      <c r="AI22" s="38"/>
      <c r="AJ22" s="150"/>
      <c r="AK22" s="27"/>
      <c r="AL22" s="27"/>
      <c r="AM22" s="27"/>
      <c r="AN22" s="27"/>
    </row>
    <row r="23" spans="2:40" ht="11.25">
      <c r="B23" s="27" t="s">
        <v>215</v>
      </c>
      <c r="C23" s="40">
        <v>231</v>
      </c>
      <c r="D23" s="39" t="s">
        <v>419</v>
      </c>
      <c r="E23" s="32">
        <f>COUNTA(H23:AG23)</f>
        <v>4</v>
      </c>
      <c r="F23" s="32">
        <f t="shared" si="0"/>
        <v>0</v>
      </c>
      <c r="G23" s="33">
        <f>C_S_G($H23:AE23,$H$9:AE$9,csg_table,E$9,F23)</f>
        <v>0.8141891891891891</v>
      </c>
      <c r="H23" s="32">
        <v>3</v>
      </c>
      <c r="I23" s="32">
        <v>4</v>
      </c>
      <c r="J23" s="32">
        <v>5</v>
      </c>
      <c r="K23" s="32">
        <v>4</v>
      </c>
      <c r="L23" s="32"/>
      <c r="M23" s="32"/>
      <c r="N23" s="32"/>
      <c r="O23" s="32"/>
      <c r="P23" s="32"/>
      <c r="Q23" s="32"/>
      <c r="R23" s="32"/>
      <c r="S23" s="32"/>
      <c r="T23" s="218"/>
      <c r="U23" s="218"/>
      <c r="V23" s="218"/>
      <c r="W23" s="32"/>
      <c r="X23" s="218"/>
      <c r="Y23" s="32"/>
      <c r="Z23" s="32"/>
      <c r="AA23" s="32"/>
      <c r="AB23" s="32"/>
      <c r="AC23" s="32"/>
      <c r="AD23" s="32"/>
      <c r="AE23" s="32"/>
      <c r="AF23" s="150"/>
      <c r="AG23" s="150"/>
      <c r="AH23" s="50"/>
      <c r="AI23" s="50"/>
      <c r="AJ23" s="150"/>
      <c r="AK23" s="27"/>
      <c r="AL23" s="27"/>
      <c r="AM23" s="27"/>
      <c r="AN23" s="27"/>
    </row>
    <row r="24" spans="2:40" ht="11.25">
      <c r="B24" s="27" t="s">
        <v>215</v>
      </c>
      <c r="C24" s="40">
        <v>41</v>
      </c>
      <c r="D24" s="39" t="s">
        <v>1133</v>
      </c>
      <c r="E24" s="32">
        <f>COUNTA(H24:AI24)</f>
        <v>8</v>
      </c>
      <c r="F24" s="32">
        <f t="shared" si="0"/>
        <v>0</v>
      </c>
      <c r="G24" s="33">
        <f>C_S_G($H24:AE24,$H$9:AE$9,csg_table,E$9,F24)</f>
        <v>0.8017241379310345</v>
      </c>
      <c r="H24" s="32">
        <v>8</v>
      </c>
      <c r="I24" s="32"/>
      <c r="J24" s="32"/>
      <c r="K24" s="32"/>
      <c r="L24" s="32">
        <v>3</v>
      </c>
      <c r="M24" s="32">
        <v>2</v>
      </c>
      <c r="N24" s="32">
        <v>3</v>
      </c>
      <c r="O24" s="32">
        <v>3</v>
      </c>
      <c r="P24" s="32"/>
      <c r="Q24" s="32"/>
      <c r="R24" s="32"/>
      <c r="S24" s="32"/>
      <c r="T24" s="218"/>
      <c r="U24" s="218"/>
      <c r="V24" s="218"/>
      <c r="W24" s="32"/>
      <c r="X24" s="218"/>
      <c r="Y24" s="32">
        <v>4</v>
      </c>
      <c r="Z24" s="32">
        <v>6</v>
      </c>
      <c r="AA24" s="32"/>
      <c r="AB24" s="32"/>
      <c r="AC24" s="32"/>
      <c r="AD24" s="32"/>
      <c r="AE24" s="32"/>
      <c r="AG24" s="150"/>
      <c r="AH24" s="41"/>
      <c r="AI24" s="41">
        <v>3</v>
      </c>
      <c r="AJ24" s="150"/>
      <c r="AK24" s="27"/>
      <c r="AL24" s="27"/>
      <c r="AM24" s="27"/>
      <c r="AN24" s="27"/>
    </row>
    <row r="25" spans="2:40" ht="11.25">
      <c r="B25" s="27" t="s">
        <v>215</v>
      </c>
      <c r="C25" s="40">
        <v>183</v>
      </c>
      <c r="D25" s="39" t="s">
        <v>840</v>
      </c>
      <c r="E25" s="32">
        <f>COUNTA(H25:AI25)</f>
        <v>2</v>
      </c>
      <c r="F25" s="32">
        <f t="shared" si="0"/>
        <v>0</v>
      </c>
      <c r="G25" s="33">
        <f>C_S_G($H25:AE25,$H$9:AE$9,csg_table,E$9,F25)</f>
        <v>0.7875</v>
      </c>
      <c r="H25" s="32"/>
      <c r="I25" s="32"/>
      <c r="J25" s="32"/>
      <c r="K25" s="32"/>
      <c r="L25" s="32"/>
      <c r="M25" s="32"/>
      <c r="N25" s="32"/>
      <c r="O25" s="32"/>
      <c r="P25" s="32"/>
      <c r="Q25" s="32"/>
      <c r="R25" s="32"/>
      <c r="S25" s="32"/>
      <c r="T25" s="218"/>
      <c r="U25" s="218"/>
      <c r="V25" s="218"/>
      <c r="W25" s="32"/>
      <c r="X25" s="218"/>
      <c r="Y25" s="32">
        <v>7</v>
      </c>
      <c r="Z25" s="32">
        <v>4</v>
      </c>
      <c r="AA25" s="32"/>
      <c r="AB25" s="32"/>
      <c r="AC25" s="32"/>
      <c r="AD25" s="32"/>
      <c r="AE25" s="32"/>
      <c r="AF25" s="150"/>
      <c r="AG25" s="150"/>
      <c r="AH25" s="41"/>
      <c r="AI25" s="41"/>
      <c r="AJ25" s="150"/>
      <c r="AK25" s="27"/>
      <c r="AL25" s="27"/>
      <c r="AM25" s="27"/>
      <c r="AN25" s="27"/>
    </row>
    <row r="26" spans="2:40" ht="11.25">
      <c r="B26" s="27" t="s">
        <v>215</v>
      </c>
      <c r="C26" s="40">
        <v>16</v>
      </c>
      <c r="D26" s="39" t="s">
        <v>833</v>
      </c>
      <c r="E26" s="32">
        <f>COUNTA(H26:AI26)</f>
        <v>3</v>
      </c>
      <c r="F26" s="32">
        <f t="shared" si="0"/>
        <v>0</v>
      </c>
      <c r="G26" s="33">
        <f>C_S_G($H26:AE26,$H$9:AE$9,csg_table,E$9,F26)</f>
        <v>0.6902173913043478</v>
      </c>
      <c r="H26" s="32">
        <v>9</v>
      </c>
      <c r="I26" s="32"/>
      <c r="J26" s="32"/>
      <c r="K26" s="32"/>
      <c r="L26" s="32"/>
      <c r="M26" s="32"/>
      <c r="N26" s="32"/>
      <c r="O26" s="32"/>
      <c r="P26" s="32"/>
      <c r="Q26" s="32"/>
      <c r="R26" s="32"/>
      <c r="S26" s="32"/>
      <c r="T26" s="218"/>
      <c r="U26" s="218"/>
      <c r="V26" s="218"/>
      <c r="W26" s="32">
        <v>5</v>
      </c>
      <c r="X26" s="218">
        <v>4</v>
      </c>
      <c r="Y26" s="32"/>
      <c r="Z26" s="32"/>
      <c r="AA26" s="32"/>
      <c r="AB26" s="32"/>
      <c r="AC26" s="32"/>
      <c r="AD26" s="32"/>
      <c r="AE26" s="32"/>
      <c r="AG26" s="150"/>
      <c r="AH26" s="41"/>
      <c r="AI26" s="41"/>
      <c r="AJ26" s="150"/>
      <c r="AK26" s="27"/>
      <c r="AL26" s="27"/>
      <c r="AM26" s="27"/>
      <c r="AN26" s="27"/>
    </row>
    <row r="27" spans="2:40" ht="11.25">
      <c r="B27" s="27" t="s">
        <v>215</v>
      </c>
      <c r="C27" s="40">
        <v>38</v>
      </c>
      <c r="D27" s="39" t="s">
        <v>782</v>
      </c>
      <c r="E27" s="32">
        <f>COUNTA(H27:AI27)</f>
        <v>5</v>
      </c>
      <c r="F27" s="32">
        <f t="shared" si="0"/>
        <v>0</v>
      </c>
      <c r="G27" s="33">
        <f>C_S_G($H27:AE27,$H$9:AE$9,csg_table,E$9,F27)</f>
        <v>0.6642857142857143</v>
      </c>
      <c r="H27" s="32"/>
      <c r="I27" s="32"/>
      <c r="J27" s="32"/>
      <c r="K27" s="32"/>
      <c r="L27" s="32">
        <v>6</v>
      </c>
      <c r="M27" s="32">
        <v>6</v>
      </c>
      <c r="N27" s="32"/>
      <c r="O27" s="32"/>
      <c r="P27" s="32"/>
      <c r="Q27" s="32"/>
      <c r="R27" s="32"/>
      <c r="S27" s="32"/>
      <c r="T27" s="218"/>
      <c r="U27" s="218"/>
      <c r="V27" s="218"/>
      <c r="W27" s="32"/>
      <c r="X27" s="218"/>
      <c r="Y27" s="32">
        <v>10</v>
      </c>
      <c r="Z27" s="32">
        <v>9</v>
      </c>
      <c r="AA27" s="32"/>
      <c r="AB27" s="32"/>
      <c r="AC27" s="32"/>
      <c r="AD27" s="32"/>
      <c r="AE27" s="32"/>
      <c r="AG27" s="150"/>
      <c r="AH27" s="41"/>
      <c r="AI27" s="41">
        <v>6</v>
      </c>
      <c r="AJ27" s="150"/>
      <c r="AK27" s="27"/>
      <c r="AL27" s="27"/>
      <c r="AM27" s="27"/>
      <c r="AN27" s="27"/>
    </row>
    <row r="28" spans="2:40" ht="11.25">
      <c r="B28" s="27" t="s">
        <v>215</v>
      </c>
      <c r="C28" s="40">
        <v>5</v>
      </c>
      <c r="D28" s="39" t="s">
        <v>346</v>
      </c>
      <c r="E28" s="32">
        <f>COUNTA(H28:AI28)</f>
        <v>5</v>
      </c>
      <c r="F28" s="32">
        <f t="shared" si="0"/>
        <v>0</v>
      </c>
      <c r="G28" s="33">
        <f>C_S_G($H28:AE28,$H$9:AE$9,csg_table,E$9,F28)</f>
        <v>0.6623376623376623</v>
      </c>
      <c r="H28" s="32"/>
      <c r="I28" s="32">
        <v>8</v>
      </c>
      <c r="J28" s="32" t="s">
        <v>290</v>
      </c>
      <c r="K28" s="32" t="s">
        <v>299</v>
      </c>
      <c r="L28" s="32"/>
      <c r="M28" s="32"/>
      <c r="N28" s="32"/>
      <c r="O28" s="32"/>
      <c r="P28" s="32"/>
      <c r="Q28" s="32"/>
      <c r="R28" s="32"/>
      <c r="S28" s="32"/>
      <c r="T28" s="218"/>
      <c r="U28" s="218"/>
      <c r="V28" s="218"/>
      <c r="W28" s="32"/>
      <c r="X28" s="218"/>
      <c r="Y28" s="32">
        <v>9</v>
      </c>
      <c r="Z28" s="32">
        <v>10</v>
      </c>
      <c r="AA28" s="32"/>
      <c r="AB28" s="32"/>
      <c r="AC28" s="32"/>
      <c r="AD28" s="32"/>
      <c r="AE28" s="32"/>
      <c r="AG28" s="150"/>
      <c r="AH28" s="41"/>
      <c r="AI28" s="41"/>
      <c r="AJ28" s="150"/>
      <c r="AK28" s="27"/>
      <c r="AL28" s="27"/>
      <c r="AM28" s="27"/>
      <c r="AN28" s="27"/>
    </row>
    <row r="29" spans="1:40" ht="11.25">
      <c r="A29" s="330"/>
      <c r="B29" s="340" t="s">
        <v>215</v>
      </c>
      <c r="C29" s="50">
        <v>49</v>
      </c>
      <c r="D29" s="60" t="s">
        <v>526</v>
      </c>
      <c r="E29" s="34">
        <v>0</v>
      </c>
      <c r="F29" s="34">
        <f t="shared" si="0"/>
        <v>0</v>
      </c>
      <c r="G29" s="35">
        <f>C_S_G($H29:AE29,$H$9:AE$9,csg_table,E$9,F29)</f>
        <v>0</v>
      </c>
      <c r="H29" s="34"/>
      <c r="I29" s="34"/>
      <c r="J29" s="34"/>
      <c r="K29" s="34"/>
      <c r="L29" s="34"/>
      <c r="M29" s="34"/>
      <c r="N29" s="34"/>
      <c r="O29" s="34"/>
      <c r="P29" s="34"/>
      <c r="Q29" s="34"/>
      <c r="R29" s="34"/>
      <c r="S29" s="34"/>
      <c r="T29" s="219"/>
      <c r="U29" s="219"/>
      <c r="V29" s="219"/>
      <c r="W29" s="34"/>
      <c r="X29" s="219"/>
      <c r="Y29" s="34"/>
      <c r="Z29" s="34"/>
      <c r="AA29" s="34"/>
      <c r="AB29" s="34"/>
      <c r="AC29" s="34"/>
      <c r="AD29" s="34"/>
      <c r="AE29" s="34"/>
      <c r="AF29" s="330"/>
      <c r="AG29" s="64"/>
      <c r="AH29" s="41">
        <v>5</v>
      </c>
      <c r="AI29" s="41"/>
      <c r="AJ29" s="150"/>
      <c r="AK29" s="27"/>
      <c r="AL29" s="27"/>
      <c r="AM29" s="27"/>
      <c r="AN29" s="27"/>
    </row>
    <row r="30" spans="5:35" s="150" customFormat="1" ht="11.25">
      <c r="E30" s="69"/>
      <c r="F30" s="293"/>
      <c r="G30" s="307"/>
      <c r="AH30" s="66" t="s">
        <v>1156</v>
      </c>
      <c r="AI30" s="66">
        <v>4</v>
      </c>
    </row>
    <row r="31" spans="2:22" ht="11.25">
      <c r="B31" s="191" t="s">
        <v>215</v>
      </c>
      <c r="C31" s="136">
        <f>ROUND((E9)*0.5,0)</f>
        <v>12</v>
      </c>
      <c r="D31" s="191" t="s">
        <v>897</v>
      </c>
      <c r="F31" s="25" t="s">
        <v>191</v>
      </c>
      <c r="P31" s="365" t="s">
        <v>130</v>
      </c>
      <c r="Q31" s="365"/>
      <c r="R31" s="365"/>
      <c r="S31" s="365"/>
      <c r="T31" s="365"/>
      <c r="U31" s="365"/>
      <c r="V31" s="365"/>
    </row>
    <row r="32" ht="11.25">
      <c r="D32" s="27" t="s">
        <v>212</v>
      </c>
    </row>
    <row r="37" ht="11.25">
      <c r="D37" s="27" t="s">
        <v>191</v>
      </c>
    </row>
  </sheetData>
  <sheetProtection/>
  <mergeCells count="11">
    <mergeCell ref="F7:G7"/>
    <mergeCell ref="F8:G8"/>
    <mergeCell ref="I5:K5"/>
    <mergeCell ref="P31:V31"/>
    <mergeCell ref="W5:X5"/>
    <mergeCell ref="Y5:Z5"/>
    <mergeCell ref="AA5:AF5"/>
    <mergeCell ref="F9:G9"/>
    <mergeCell ref="P5:V5"/>
    <mergeCell ref="L5:M5"/>
    <mergeCell ref="N5:O5"/>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9"/>
  <dimension ref="A1:X23"/>
  <sheetViews>
    <sheetView zoomScalePageLayoutView="0" workbookViewId="0" topLeftCell="A1">
      <selection activeCell="M31" sqref="M31"/>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1" ht="11.25">
      <c r="A1" s="27" t="s">
        <v>191</v>
      </c>
    </row>
    <row r="2" ht="11.25">
      <c r="D2" s="233" t="s">
        <v>753</v>
      </c>
    </row>
    <row r="3" ht="11.25">
      <c r="D3" s="27" t="s">
        <v>697</v>
      </c>
    </row>
    <row r="4" spans="8:24" ht="11.25">
      <c r="H4" s="28"/>
      <c r="I4" s="29"/>
      <c r="J4" s="29"/>
      <c r="K4" s="29"/>
      <c r="L4" s="29"/>
      <c r="M4" s="29"/>
      <c r="N4" s="29"/>
      <c r="O4" s="30"/>
      <c r="P4" s="49"/>
      <c r="Q4" s="49"/>
      <c r="R4" s="49"/>
      <c r="S4" s="49"/>
      <c r="T4" s="49"/>
      <c r="U4" s="49"/>
      <c r="V4" s="49"/>
      <c r="W4" s="29"/>
      <c r="X4" s="30"/>
    </row>
    <row r="5" spans="4:24" ht="11.25">
      <c r="D5" s="191"/>
      <c r="H5" s="375" t="s">
        <v>309</v>
      </c>
      <c r="I5" s="376"/>
      <c r="J5" s="376"/>
      <c r="K5" s="377"/>
      <c r="L5" s="376" t="s">
        <v>314</v>
      </c>
      <c r="M5" s="376"/>
      <c r="N5" s="376"/>
      <c r="O5" s="377"/>
      <c r="P5" s="375" t="s">
        <v>548</v>
      </c>
      <c r="Q5" s="376"/>
      <c r="R5" s="376"/>
      <c r="S5" s="376"/>
      <c r="T5" s="376"/>
      <c r="U5" s="376"/>
      <c r="V5" s="377"/>
      <c r="W5" s="375" t="s">
        <v>660</v>
      </c>
      <c r="X5" s="377"/>
    </row>
    <row r="6" spans="3:24" ht="11.25">
      <c r="C6" s="37"/>
      <c r="D6" s="126"/>
      <c r="E6" s="105"/>
      <c r="F6" s="115"/>
      <c r="G6" s="116" t="s">
        <v>184</v>
      </c>
      <c r="H6" s="62" t="s">
        <v>295</v>
      </c>
      <c r="I6" s="41" t="s">
        <v>295</v>
      </c>
      <c r="J6" s="41" t="s">
        <v>295</v>
      </c>
      <c r="K6" s="41" t="s">
        <v>430</v>
      </c>
      <c r="L6" s="41"/>
      <c r="M6" s="41"/>
      <c r="N6" s="41"/>
      <c r="O6" s="41"/>
      <c r="P6" s="41" t="s">
        <v>295</v>
      </c>
      <c r="Q6" s="41" t="s">
        <v>295</v>
      </c>
      <c r="R6" s="41" t="s">
        <v>295</v>
      </c>
      <c r="S6" s="41" t="s">
        <v>295</v>
      </c>
      <c r="T6" s="41" t="s">
        <v>295</v>
      </c>
      <c r="U6" s="41" t="s">
        <v>295</v>
      </c>
      <c r="V6" s="41" t="s">
        <v>295</v>
      </c>
      <c r="W6" s="41"/>
      <c r="X6" s="41"/>
    </row>
    <row r="7" spans="3:24" ht="11.25">
      <c r="C7" s="39"/>
      <c r="D7" s="63"/>
      <c r="E7" s="56"/>
      <c r="F7" s="117"/>
      <c r="G7" s="118" t="s">
        <v>185</v>
      </c>
      <c r="H7" s="112">
        <v>190</v>
      </c>
      <c r="I7" s="42">
        <v>190</v>
      </c>
      <c r="J7" s="42">
        <v>330</v>
      </c>
      <c r="K7" s="42">
        <v>330</v>
      </c>
      <c r="L7" s="41"/>
      <c r="M7" s="41"/>
      <c r="N7" s="41"/>
      <c r="O7" s="41"/>
      <c r="P7" s="41">
        <v>175</v>
      </c>
      <c r="Q7" s="41">
        <v>175</v>
      </c>
      <c r="R7" s="41">
        <v>175</v>
      </c>
      <c r="S7" s="41">
        <v>175</v>
      </c>
      <c r="T7" s="41">
        <v>175</v>
      </c>
      <c r="U7" s="41">
        <v>175</v>
      </c>
      <c r="V7" s="41">
        <v>175</v>
      </c>
      <c r="W7" s="41"/>
      <c r="X7" s="41"/>
    </row>
    <row r="8" spans="3:24" ht="11.25">
      <c r="C8" s="39"/>
      <c r="D8" s="63"/>
      <c r="E8" s="56"/>
      <c r="F8" s="117"/>
      <c r="G8" s="118" t="s">
        <v>186</v>
      </c>
      <c r="H8" s="62">
        <v>12</v>
      </c>
      <c r="I8" s="41">
        <v>20</v>
      </c>
      <c r="J8" s="44" t="s">
        <v>363</v>
      </c>
      <c r="K8" s="43" t="s">
        <v>362</v>
      </c>
      <c r="L8" s="43"/>
      <c r="M8" s="43"/>
      <c r="N8" s="43"/>
      <c r="O8" s="43"/>
      <c r="P8" s="43">
        <v>15</v>
      </c>
      <c r="Q8" s="43">
        <v>15</v>
      </c>
      <c r="R8" s="43">
        <v>15</v>
      </c>
      <c r="S8" s="43">
        <v>15</v>
      </c>
      <c r="T8" s="43">
        <v>10</v>
      </c>
      <c r="U8" s="43">
        <v>8</v>
      </c>
      <c r="V8" s="43">
        <v>5</v>
      </c>
      <c r="W8" s="43"/>
      <c r="X8" s="43"/>
    </row>
    <row r="9" spans="3:24" ht="11.25">
      <c r="C9" s="60"/>
      <c r="D9" s="127"/>
      <c r="E9" s="56">
        <f>COUNTIF($H9:X9,"&gt;0")</f>
        <v>17</v>
      </c>
      <c r="F9" s="119"/>
      <c r="G9" s="120" t="s">
        <v>187</v>
      </c>
      <c r="H9" s="62">
        <v>3</v>
      </c>
      <c r="I9" s="41">
        <v>3</v>
      </c>
      <c r="J9" s="41">
        <v>4</v>
      </c>
      <c r="K9" s="41">
        <v>4</v>
      </c>
      <c r="L9" s="41">
        <v>4</v>
      </c>
      <c r="M9" s="41">
        <v>4</v>
      </c>
      <c r="N9" s="41">
        <v>3</v>
      </c>
      <c r="O9" s="41">
        <v>3</v>
      </c>
      <c r="P9" s="41">
        <v>4</v>
      </c>
      <c r="Q9" s="41">
        <v>4</v>
      </c>
      <c r="R9" s="41">
        <v>4</v>
      </c>
      <c r="S9" s="41">
        <v>3</v>
      </c>
      <c r="T9" s="41">
        <v>5</v>
      </c>
      <c r="U9" s="41">
        <v>5</v>
      </c>
      <c r="V9" s="41">
        <v>5</v>
      </c>
      <c r="W9" s="41">
        <v>4</v>
      </c>
      <c r="X9" s="41">
        <v>3</v>
      </c>
    </row>
    <row r="10" spans="3:24" ht="37.5">
      <c r="C10" s="41" t="s">
        <v>451</v>
      </c>
      <c r="D10" s="124" t="s">
        <v>422</v>
      </c>
      <c r="E10" s="36" t="s">
        <v>188</v>
      </c>
      <c r="F10" s="149" t="s">
        <v>189</v>
      </c>
      <c r="G10" s="151" t="s">
        <v>190</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row>
    <row r="11" spans="2:24" ht="11.25">
      <c r="B11" s="27">
        <v>1</v>
      </c>
      <c r="C11" s="38">
        <v>2</v>
      </c>
      <c r="D11" s="37" t="s">
        <v>758</v>
      </c>
      <c r="E11" s="212">
        <f aca="true" t="shared" si="0" ref="E11:E18">COUNTA(H11:X11)</f>
        <v>15</v>
      </c>
      <c r="F11" s="48">
        <v>0</v>
      </c>
      <c r="G11" s="214">
        <f>C_S_G($H11:X11,$H$9:X$9,csg_table,E$9,F11)</f>
        <v>0.9442379182156134</v>
      </c>
      <c r="H11" s="48" t="s">
        <v>191</v>
      </c>
      <c r="I11" s="48" t="s">
        <v>191</v>
      </c>
      <c r="J11" s="48"/>
      <c r="K11" s="48"/>
      <c r="L11" s="48">
        <v>1</v>
      </c>
      <c r="M11" s="48">
        <v>2</v>
      </c>
      <c r="N11" s="48">
        <v>1</v>
      </c>
      <c r="O11" s="48">
        <v>2</v>
      </c>
      <c r="P11" s="48">
        <v>1</v>
      </c>
      <c r="Q11" s="48">
        <v>1</v>
      </c>
      <c r="R11" s="48">
        <v>1</v>
      </c>
      <c r="S11" s="48">
        <v>1</v>
      </c>
      <c r="T11" s="48">
        <v>2</v>
      </c>
      <c r="U11" s="48">
        <v>1</v>
      </c>
      <c r="V11" s="48">
        <v>2</v>
      </c>
      <c r="W11" s="48">
        <v>1</v>
      </c>
      <c r="X11" s="48">
        <v>2</v>
      </c>
    </row>
    <row r="12" spans="2:24" ht="11.25">
      <c r="B12" s="27">
        <v>2</v>
      </c>
      <c r="C12" s="40">
        <v>117</v>
      </c>
      <c r="D12" s="39" t="s">
        <v>754</v>
      </c>
      <c r="E12" s="69">
        <f t="shared" si="0"/>
        <v>10</v>
      </c>
      <c r="F12" s="32">
        <v>0</v>
      </c>
      <c r="G12" s="215">
        <f>C_S_G($H12:X12,$H$9:X$9,csg_table,E$9,F12)</f>
        <v>0.8954869358669834</v>
      </c>
      <c r="H12" s="32">
        <v>1</v>
      </c>
      <c r="I12" s="32">
        <v>1</v>
      </c>
      <c r="J12" s="32">
        <v>1</v>
      </c>
      <c r="K12" s="32"/>
      <c r="L12" s="32"/>
      <c r="M12" s="32"/>
      <c r="N12" s="32"/>
      <c r="O12" s="32"/>
      <c r="P12" s="32">
        <v>2</v>
      </c>
      <c r="Q12" s="32">
        <v>2</v>
      </c>
      <c r="R12" s="32">
        <v>2</v>
      </c>
      <c r="S12" s="32">
        <v>2</v>
      </c>
      <c r="T12" s="32">
        <v>1</v>
      </c>
      <c r="U12" s="32">
        <v>2</v>
      </c>
      <c r="V12" s="32">
        <v>4</v>
      </c>
      <c r="W12" s="32"/>
      <c r="X12" s="32"/>
    </row>
    <row r="13" spans="2:24" ht="11.25">
      <c r="B13" s="27">
        <v>3</v>
      </c>
      <c r="C13" s="40">
        <v>5</v>
      </c>
      <c r="D13" s="39" t="s">
        <v>756</v>
      </c>
      <c r="E13" s="69">
        <f t="shared" si="0"/>
        <v>16</v>
      </c>
      <c r="F13" s="32">
        <v>0</v>
      </c>
      <c r="G13" s="215">
        <f>C_S_G($H13:X13,$H$9:X$9,csg_table,E$9,F13)</f>
        <v>0.744945567651633</v>
      </c>
      <c r="H13" s="32">
        <v>3</v>
      </c>
      <c r="I13" s="32">
        <v>2</v>
      </c>
      <c r="J13" s="32">
        <v>3</v>
      </c>
      <c r="K13" s="32"/>
      <c r="L13" s="32">
        <v>3</v>
      </c>
      <c r="M13" s="32">
        <v>3</v>
      </c>
      <c r="N13" s="32">
        <v>3</v>
      </c>
      <c r="O13" s="32">
        <v>3</v>
      </c>
      <c r="P13" s="32">
        <v>3</v>
      </c>
      <c r="Q13" s="32">
        <v>4</v>
      </c>
      <c r="R13" s="32">
        <v>3</v>
      </c>
      <c r="S13" s="32">
        <v>3</v>
      </c>
      <c r="T13" s="32">
        <v>4</v>
      </c>
      <c r="U13" s="32">
        <v>5</v>
      </c>
      <c r="V13" s="32">
        <v>5</v>
      </c>
      <c r="W13" s="32">
        <v>2</v>
      </c>
      <c r="X13" s="32">
        <v>1</v>
      </c>
    </row>
    <row r="14" spans="2:24" ht="11.25">
      <c r="B14" s="27">
        <v>4</v>
      </c>
      <c r="C14" s="50">
        <v>103</v>
      </c>
      <c r="D14" s="60" t="s">
        <v>760</v>
      </c>
      <c r="E14" s="213">
        <f t="shared" si="0"/>
        <v>10</v>
      </c>
      <c r="F14" s="34">
        <v>0</v>
      </c>
      <c r="G14" s="216">
        <f>C_S_G($H14:X14,$H$9:X$9,csg_table,E$9,F14)</f>
        <v>0.7353760445682451</v>
      </c>
      <c r="H14" s="34" t="s">
        <v>191</v>
      </c>
      <c r="I14" s="34" t="s">
        <v>191</v>
      </c>
      <c r="J14" s="34"/>
      <c r="K14" s="34"/>
      <c r="L14" s="34"/>
      <c r="M14" s="34"/>
      <c r="N14" s="34"/>
      <c r="O14" s="34"/>
      <c r="P14" s="34">
        <v>4</v>
      </c>
      <c r="Q14" s="34">
        <v>3</v>
      </c>
      <c r="R14" s="34">
        <v>4</v>
      </c>
      <c r="S14" s="34"/>
      <c r="T14" s="34">
        <v>5</v>
      </c>
      <c r="U14" s="34">
        <v>3</v>
      </c>
      <c r="V14" s="34">
        <v>3</v>
      </c>
      <c r="W14" s="34">
        <v>3</v>
      </c>
      <c r="X14" s="34">
        <v>3</v>
      </c>
    </row>
    <row r="15" spans="3:24" ht="11.25">
      <c r="C15" s="38">
        <v>116</v>
      </c>
      <c r="D15" s="37" t="s">
        <v>757</v>
      </c>
      <c r="E15" s="212">
        <f t="shared" si="0"/>
        <v>7</v>
      </c>
      <c r="F15" s="48">
        <v>0</v>
      </c>
      <c r="G15" s="214">
        <f>C_S_G($H15:X15,$H$9:X$9,csg_table,E$9,F15)</f>
        <v>0.8325581395348837</v>
      </c>
      <c r="H15" s="48" t="s">
        <v>191</v>
      </c>
      <c r="I15" s="48" t="s">
        <v>191</v>
      </c>
      <c r="J15" s="48">
        <v>2</v>
      </c>
      <c r="K15" s="48">
        <v>3</v>
      </c>
      <c r="L15" s="48">
        <v>2</v>
      </c>
      <c r="M15" s="48">
        <v>1</v>
      </c>
      <c r="N15" s="48"/>
      <c r="O15" s="48"/>
      <c r="P15" s="48"/>
      <c r="Q15" s="48"/>
      <c r="R15" s="48"/>
      <c r="S15" s="48"/>
      <c r="T15" s="48"/>
      <c r="U15" s="48"/>
      <c r="V15" s="48"/>
      <c r="W15" s="48">
        <v>4</v>
      </c>
      <c r="X15" s="48"/>
    </row>
    <row r="16" spans="3:24" ht="11.25">
      <c r="C16" s="40">
        <v>122</v>
      </c>
      <c r="D16" s="39" t="s">
        <v>755</v>
      </c>
      <c r="E16" s="69">
        <f t="shared" si="0"/>
        <v>5</v>
      </c>
      <c r="F16" s="32">
        <v>0</v>
      </c>
      <c r="G16" s="215">
        <f>C_S_G($H16:X16,$H$9:X$9,csg_table,E$9,F16)</f>
        <v>0.6963350785340314</v>
      </c>
      <c r="H16" s="32">
        <v>2</v>
      </c>
      <c r="I16" s="32">
        <v>3</v>
      </c>
      <c r="J16" s="32">
        <v>4</v>
      </c>
      <c r="K16" s="32"/>
      <c r="L16" s="32">
        <v>4</v>
      </c>
      <c r="M16" s="32">
        <v>4</v>
      </c>
      <c r="N16" s="32"/>
      <c r="O16" s="32"/>
      <c r="P16" s="32"/>
      <c r="Q16" s="32"/>
      <c r="R16" s="32"/>
      <c r="S16" s="32"/>
      <c r="T16" s="32"/>
      <c r="U16" s="32"/>
      <c r="V16" s="32"/>
      <c r="W16" s="32"/>
      <c r="X16" s="32"/>
    </row>
    <row r="17" spans="3:24" ht="11.25">
      <c r="C17" s="40">
        <v>118</v>
      </c>
      <c r="D17" s="39" t="s">
        <v>759</v>
      </c>
      <c r="E17" s="69">
        <f t="shared" si="0"/>
        <v>5</v>
      </c>
      <c r="F17" s="32">
        <v>0</v>
      </c>
      <c r="G17" s="215">
        <f>C_S_G($H17:X17,$H$9:X$9,csg_table,E$9,F17)</f>
        <v>0.8461538461538461</v>
      </c>
      <c r="H17" s="32" t="s">
        <v>191</v>
      </c>
      <c r="I17" s="32" t="s">
        <v>191</v>
      </c>
      <c r="J17" s="32"/>
      <c r="K17" s="32"/>
      <c r="L17" s="32"/>
      <c r="M17" s="32"/>
      <c r="N17" s="32"/>
      <c r="O17" s="32"/>
      <c r="P17" s="32"/>
      <c r="Q17" s="32"/>
      <c r="R17" s="32"/>
      <c r="S17" s="32"/>
      <c r="T17" s="32">
        <v>3</v>
      </c>
      <c r="U17" s="32">
        <v>4</v>
      </c>
      <c r="V17" s="32">
        <v>1</v>
      </c>
      <c r="W17" s="32"/>
      <c r="X17" s="32"/>
    </row>
    <row r="18" spans="3:24" ht="11.25">
      <c r="C18" s="50">
        <v>100</v>
      </c>
      <c r="D18" s="60"/>
      <c r="E18" s="213">
        <f t="shared" si="0"/>
        <v>4</v>
      </c>
      <c r="F18" s="34">
        <v>0</v>
      </c>
      <c r="G18" s="216">
        <f>C_S_G($H18:X18,$H$9:X$9,csg_table,E$9,F18)</f>
        <v>0.9032258064516129</v>
      </c>
      <c r="H18" s="34" t="s">
        <v>191</v>
      </c>
      <c r="I18" s="34" t="s">
        <v>191</v>
      </c>
      <c r="J18" s="34"/>
      <c r="K18" s="34"/>
      <c r="L18" s="34"/>
      <c r="M18" s="34"/>
      <c r="N18" s="34">
        <v>2</v>
      </c>
      <c r="O18" s="34">
        <v>1</v>
      </c>
      <c r="P18" s="34"/>
      <c r="Q18" s="34"/>
      <c r="R18" s="34"/>
      <c r="S18" s="34"/>
      <c r="T18" s="34"/>
      <c r="U18" s="34"/>
      <c r="V18" s="34"/>
      <c r="W18" s="34"/>
      <c r="X18" s="34"/>
    </row>
    <row r="19" ht="10.5" customHeight="1"/>
    <row r="21" ht="11.25">
      <c r="D21" s="27" t="s">
        <v>730</v>
      </c>
    </row>
    <row r="22" ht="11.25">
      <c r="D22" s="27" t="s">
        <v>731</v>
      </c>
    </row>
    <row r="23" ht="11.25">
      <c r="D23" s="27" t="s">
        <v>732</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codeName="Sheet25"/>
  <dimension ref="A2:AY57"/>
  <sheetViews>
    <sheetView zoomScalePageLayoutView="0" workbookViewId="0" topLeftCell="A3">
      <selection activeCell="D32" sqref="D32"/>
    </sheetView>
  </sheetViews>
  <sheetFormatPr defaultColWidth="9.140625" defaultRowHeight="12.75"/>
  <cols>
    <col min="1" max="1" width="3.00390625" style="27" customWidth="1"/>
    <col min="2" max="2" width="7.140625" style="27" bestFit="1" customWidth="1"/>
    <col min="3" max="3" width="38.28125" style="27" customWidth="1"/>
    <col min="4" max="4" width="3.8515625" style="24" customWidth="1"/>
    <col min="5" max="5" width="3.28125" style="25" customWidth="1"/>
    <col min="6" max="6" width="9.140625" style="26" customWidth="1"/>
    <col min="7" max="10" width="5.140625" style="27" customWidth="1"/>
    <col min="11" max="51" width="4.140625" style="27" customWidth="1"/>
    <col min="52" max="16384" width="9.140625" style="27" customWidth="1"/>
  </cols>
  <sheetData>
    <row r="2" ht="11.25">
      <c r="C2" s="23" t="s">
        <v>701</v>
      </c>
    </row>
    <row r="3" ht="11.25">
      <c r="C3" s="27" t="s">
        <v>702</v>
      </c>
    </row>
    <row r="4" spans="3:51" ht="11.25">
      <c r="C4" s="27" t="s">
        <v>310</v>
      </c>
      <c r="G4" s="28" t="s">
        <v>300</v>
      </c>
      <c r="H4" s="29"/>
      <c r="I4" s="29"/>
      <c r="J4" s="29"/>
      <c r="K4" s="29"/>
      <c r="L4" s="29"/>
      <c r="M4" s="29"/>
      <c r="N4" s="29"/>
      <c r="O4" s="29"/>
      <c r="P4" s="49"/>
      <c r="Q4" s="49"/>
      <c r="R4" s="49"/>
      <c r="S4" s="49"/>
      <c r="T4" s="49"/>
      <c r="U4" s="29"/>
      <c r="V4" s="29"/>
      <c r="W4" s="29"/>
      <c r="X4" s="30"/>
      <c r="AG4" s="28" t="s">
        <v>301</v>
      </c>
      <c r="AH4" s="29"/>
      <c r="AI4" s="29"/>
      <c r="AJ4" s="29"/>
      <c r="AK4" s="29"/>
      <c r="AL4" s="29"/>
      <c r="AM4" s="29"/>
      <c r="AN4" s="29"/>
      <c r="AO4" s="29"/>
      <c r="AP4" s="29"/>
      <c r="AQ4" s="29"/>
      <c r="AR4" s="29"/>
      <c r="AS4" s="29"/>
      <c r="AT4" s="29"/>
      <c r="AU4" s="29"/>
      <c r="AV4" s="29"/>
      <c r="AW4" s="29"/>
      <c r="AX4" s="29"/>
      <c r="AY4" s="29"/>
    </row>
    <row r="5" spans="7:51" ht="11.25">
      <c r="G5" s="375" t="s">
        <v>309</v>
      </c>
      <c r="H5" s="376"/>
      <c r="I5" s="376"/>
      <c r="J5" s="377"/>
      <c r="K5" s="375" t="s">
        <v>312</v>
      </c>
      <c r="L5" s="377"/>
      <c r="M5" s="375" t="s">
        <v>313</v>
      </c>
      <c r="N5" s="377"/>
      <c r="O5" s="53" t="s">
        <v>703</v>
      </c>
      <c r="P5" s="52" t="s">
        <v>316</v>
      </c>
      <c r="Q5" s="51"/>
      <c r="R5" s="51"/>
      <c r="S5" s="51"/>
      <c r="T5" s="125"/>
      <c r="U5" s="376" t="s">
        <v>314</v>
      </c>
      <c r="V5" s="376"/>
      <c r="W5" s="376"/>
      <c r="X5" s="377"/>
      <c r="Y5" s="375" t="s">
        <v>288</v>
      </c>
      <c r="Z5" s="376"/>
      <c r="AA5" s="376"/>
      <c r="AB5" s="376"/>
      <c r="AC5" s="376"/>
      <c r="AD5" s="376"/>
      <c r="AE5" s="376"/>
      <c r="AF5" s="377"/>
      <c r="AG5" s="375" t="s">
        <v>704</v>
      </c>
      <c r="AH5" s="376"/>
      <c r="AI5" s="376"/>
      <c r="AJ5" s="377"/>
      <c r="AK5" s="375" t="s">
        <v>315</v>
      </c>
      <c r="AL5" s="376"/>
      <c r="AM5" s="376"/>
      <c r="AN5" s="376"/>
      <c r="AO5" s="377"/>
      <c r="AP5" s="375" t="s">
        <v>705</v>
      </c>
      <c r="AQ5" s="376"/>
      <c r="AR5" s="376"/>
      <c r="AS5" s="53" t="s">
        <v>312</v>
      </c>
      <c r="AT5" s="53" t="s">
        <v>703</v>
      </c>
      <c r="AU5" s="375" t="s">
        <v>706</v>
      </c>
      <c r="AV5" s="376"/>
      <c r="AW5" s="376"/>
      <c r="AX5" s="376"/>
      <c r="AY5" s="377"/>
    </row>
    <row r="6" spans="3:51" ht="11.25">
      <c r="C6" s="37"/>
      <c r="D6" s="38"/>
      <c r="E6" s="196"/>
      <c r="F6" s="197" t="s">
        <v>184</v>
      </c>
      <c r="G6" s="41" t="s">
        <v>295</v>
      </c>
      <c r="H6" s="41" t="s">
        <v>295</v>
      </c>
      <c r="I6" s="41" t="s">
        <v>295</v>
      </c>
      <c r="J6" s="41" t="s">
        <v>295</v>
      </c>
      <c r="K6" s="41" t="s">
        <v>295</v>
      </c>
      <c r="L6" s="41" t="s">
        <v>295</v>
      </c>
      <c r="M6" s="41" t="s">
        <v>295</v>
      </c>
      <c r="N6" s="41" t="s">
        <v>295</v>
      </c>
      <c r="O6" s="41" t="s">
        <v>295</v>
      </c>
      <c r="P6" s="50" t="s">
        <v>516</v>
      </c>
      <c r="Q6" s="50" t="s">
        <v>295</v>
      </c>
      <c r="R6" s="50" t="s">
        <v>516</v>
      </c>
      <c r="S6" s="50" t="s">
        <v>516</v>
      </c>
      <c r="T6" s="50" t="s">
        <v>516</v>
      </c>
      <c r="U6" s="41" t="s">
        <v>515</v>
      </c>
      <c r="V6" s="41" t="s">
        <v>515</v>
      </c>
      <c r="W6" s="41" t="s">
        <v>295</v>
      </c>
      <c r="X6" s="41" t="s">
        <v>515</v>
      </c>
      <c r="Y6" s="41"/>
      <c r="Z6" s="41"/>
      <c r="AA6" s="41"/>
      <c r="AB6" s="41"/>
      <c r="AC6" s="41" t="s">
        <v>295</v>
      </c>
      <c r="AD6" s="41" t="s">
        <v>295</v>
      </c>
      <c r="AE6" s="41" t="s">
        <v>295</v>
      </c>
      <c r="AF6" s="41" t="s">
        <v>295</v>
      </c>
      <c r="AG6" s="41"/>
      <c r="AH6" s="41"/>
      <c r="AI6" s="41" t="s">
        <v>295</v>
      </c>
      <c r="AJ6" s="41" t="s">
        <v>430</v>
      </c>
      <c r="AK6" s="41" t="s">
        <v>430</v>
      </c>
      <c r="AL6" s="41" t="s">
        <v>515</v>
      </c>
      <c r="AM6" s="41" t="s">
        <v>515</v>
      </c>
      <c r="AN6" s="41" t="s">
        <v>515</v>
      </c>
      <c r="AO6" s="41" t="s">
        <v>295</v>
      </c>
      <c r="AP6" s="41"/>
      <c r="AQ6" s="41"/>
      <c r="AR6" s="41"/>
      <c r="AS6" s="41" t="s">
        <v>515</v>
      </c>
      <c r="AT6" s="41"/>
      <c r="AU6" s="41" t="s">
        <v>295</v>
      </c>
      <c r="AV6" s="41" t="s">
        <v>295</v>
      </c>
      <c r="AW6" s="41" t="s">
        <v>295</v>
      </c>
      <c r="AX6" s="41" t="s">
        <v>295</v>
      </c>
      <c r="AY6" s="41" t="s">
        <v>295</v>
      </c>
    </row>
    <row r="7" spans="3:51" ht="11.25">
      <c r="C7" s="39"/>
      <c r="D7" s="40"/>
      <c r="E7" s="198"/>
      <c r="F7" s="199" t="s">
        <v>185</v>
      </c>
      <c r="G7" s="42">
        <v>350</v>
      </c>
      <c r="H7" s="42">
        <v>340</v>
      </c>
      <c r="I7" s="42">
        <v>280</v>
      </c>
      <c r="J7" s="42">
        <v>280</v>
      </c>
      <c r="K7" s="41">
        <v>45</v>
      </c>
      <c r="L7" s="41">
        <v>45</v>
      </c>
      <c r="M7" s="41">
        <v>215</v>
      </c>
      <c r="N7" s="41">
        <v>190</v>
      </c>
      <c r="O7" s="41">
        <v>310</v>
      </c>
      <c r="P7" s="41">
        <v>350</v>
      </c>
      <c r="Q7" s="41">
        <v>350</v>
      </c>
      <c r="R7" s="41">
        <v>230</v>
      </c>
      <c r="S7" s="41">
        <v>230</v>
      </c>
      <c r="T7" s="41">
        <v>230</v>
      </c>
      <c r="U7" s="41">
        <v>170</v>
      </c>
      <c r="V7" s="41">
        <v>170</v>
      </c>
      <c r="W7" s="41">
        <v>220</v>
      </c>
      <c r="X7" s="41">
        <v>220</v>
      </c>
      <c r="Y7" s="41"/>
      <c r="Z7" s="41"/>
      <c r="AA7" s="41"/>
      <c r="AB7" s="41"/>
      <c r="AC7" s="41">
        <v>40</v>
      </c>
      <c r="AD7" s="41">
        <v>90</v>
      </c>
      <c r="AE7" s="41">
        <v>90</v>
      </c>
      <c r="AF7" s="41">
        <v>100</v>
      </c>
      <c r="AG7" s="41">
        <v>330</v>
      </c>
      <c r="AH7" s="41">
        <v>330</v>
      </c>
      <c r="AI7" s="41">
        <v>310</v>
      </c>
      <c r="AJ7" s="41">
        <v>310</v>
      </c>
      <c r="AK7" s="41">
        <v>220</v>
      </c>
      <c r="AL7" s="41">
        <v>220</v>
      </c>
      <c r="AM7" s="41">
        <v>220</v>
      </c>
      <c r="AN7" s="41">
        <v>240</v>
      </c>
      <c r="AO7" s="41">
        <v>200</v>
      </c>
      <c r="AP7" s="41"/>
      <c r="AQ7" s="41"/>
      <c r="AR7" s="41"/>
      <c r="AS7" s="41">
        <v>160</v>
      </c>
      <c r="AT7" s="41"/>
      <c r="AU7" s="41">
        <v>220</v>
      </c>
      <c r="AV7" s="41">
        <v>210</v>
      </c>
      <c r="AW7" s="41">
        <v>200</v>
      </c>
      <c r="AX7" s="41">
        <v>350</v>
      </c>
      <c r="AY7" s="41">
        <v>330</v>
      </c>
    </row>
    <row r="8" spans="3:51" ht="11.25">
      <c r="C8" s="39"/>
      <c r="D8" s="40"/>
      <c r="E8" s="198"/>
      <c r="F8" s="199" t="s">
        <v>186</v>
      </c>
      <c r="G8" s="41" t="s">
        <v>707</v>
      </c>
      <c r="H8" s="41" t="s">
        <v>707</v>
      </c>
      <c r="I8" s="41" t="s">
        <v>708</v>
      </c>
      <c r="J8" s="43" t="s">
        <v>708</v>
      </c>
      <c r="K8" s="44" t="s">
        <v>709</v>
      </c>
      <c r="L8" s="44" t="s">
        <v>710</v>
      </c>
      <c r="M8" s="43" t="s">
        <v>711</v>
      </c>
      <c r="N8" s="43" t="s">
        <v>711</v>
      </c>
      <c r="O8" s="44" t="s">
        <v>711</v>
      </c>
      <c r="P8" s="43" t="s">
        <v>362</v>
      </c>
      <c r="Q8" s="43" t="s">
        <v>712</v>
      </c>
      <c r="R8" s="43" t="s">
        <v>363</v>
      </c>
      <c r="S8" s="43" t="s">
        <v>362</v>
      </c>
      <c r="T8" s="43" t="s">
        <v>713</v>
      </c>
      <c r="U8" s="43" t="s">
        <v>714</v>
      </c>
      <c r="V8" s="43" t="s">
        <v>715</v>
      </c>
      <c r="W8" s="43" t="s">
        <v>709</v>
      </c>
      <c r="X8" s="43" t="s">
        <v>709</v>
      </c>
      <c r="Y8" s="43"/>
      <c r="Z8" s="43"/>
      <c r="AA8" s="43"/>
      <c r="AB8" s="43"/>
      <c r="AC8" s="43" t="s">
        <v>716</v>
      </c>
      <c r="AD8" s="43" t="s">
        <v>709</v>
      </c>
      <c r="AE8" s="43" t="s">
        <v>710</v>
      </c>
      <c r="AF8" s="43" t="s">
        <v>717</v>
      </c>
      <c r="AG8" s="44" t="s">
        <v>718</v>
      </c>
      <c r="AH8" s="43" t="s">
        <v>713</v>
      </c>
      <c r="AI8" s="43">
        <v>5</v>
      </c>
      <c r="AJ8" s="43">
        <v>5</v>
      </c>
      <c r="AK8" s="43">
        <v>5</v>
      </c>
      <c r="AL8" s="43">
        <v>5</v>
      </c>
      <c r="AM8" s="43">
        <v>5</v>
      </c>
      <c r="AN8" s="43">
        <v>8</v>
      </c>
      <c r="AO8" s="43">
        <v>6</v>
      </c>
      <c r="AP8" s="43"/>
      <c r="AQ8" s="43"/>
      <c r="AR8" s="43"/>
      <c r="AS8" s="43">
        <v>3</v>
      </c>
      <c r="AT8" s="43"/>
      <c r="AU8" s="43">
        <v>6</v>
      </c>
      <c r="AV8" s="43">
        <v>5</v>
      </c>
      <c r="AW8" s="43">
        <v>8</v>
      </c>
      <c r="AX8" s="43">
        <v>15</v>
      </c>
      <c r="AY8" s="43">
        <v>15</v>
      </c>
    </row>
    <row r="9" spans="3:51" ht="11.25">
      <c r="C9" s="200"/>
      <c r="D9" s="40">
        <f>COUNTIF($G9:AY9,"&gt;0")</f>
        <v>45</v>
      </c>
      <c r="E9" s="198"/>
      <c r="F9" s="199" t="s">
        <v>187</v>
      </c>
      <c r="G9" s="41">
        <v>9</v>
      </c>
      <c r="H9" s="41">
        <v>8</v>
      </c>
      <c r="I9" s="41">
        <v>8</v>
      </c>
      <c r="J9" s="41">
        <v>8</v>
      </c>
      <c r="K9" s="41">
        <v>10</v>
      </c>
      <c r="L9" s="41">
        <v>9</v>
      </c>
      <c r="M9" s="41">
        <v>8</v>
      </c>
      <c r="N9" s="41">
        <v>6</v>
      </c>
      <c r="O9" s="41">
        <v>5</v>
      </c>
      <c r="P9" s="41">
        <v>11</v>
      </c>
      <c r="Q9" s="41">
        <v>10</v>
      </c>
      <c r="R9" s="41">
        <v>11</v>
      </c>
      <c r="S9" s="41">
        <v>11</v>
      </c>
      <c r="T9" s="41">
        <v>10</v>
      </c>
      <c r="U9" s="41">
        <v>9</v>
      </c>
      <c r="V9" s="41">
        <v>8</v>
      </c>
      <c r="W9" s="41">
        <v>9</v>
      </c>
      <c r="X9" s="41">
        <v>7</v>
      </c>
      <c r="Y9" s="41">
        <v>15</v>
      </c>
      <c r="Z9" s="41">
        <v>15</v>
      </c>
      <c r="AA9" s="41">
        <v>17</v>
      </c>
      <c r="AB9" s="41">
        <v>16</v>
      </c>
      <c r="AC9" s="41">
        <v>14</v>
      </c>
      <c r="AD9" s="41">
        <v>13</v>
      </c>
      <c r="AE9" s="41">
        <v>13</v>
      </c>
      <c r="AF9" s="41">
        <v>13</v>
      </c>
      <c r="AG9" s="41">
        <v>7</v>
      </c>
      <c r="AH9" s="41">
        <v>7</v>
      </c>
      <c r="AI9" s="41">
        <v>11</v>
      </c>
      <c r="AJ9" s="41">
        <v>11</v>
      </c>
      <c r="AK9" s="41">
        <v>8</v>
      </c>
      <c r="AL9" s="41">
        <v>8</v>
      </c>
      <c r="AM9" s="41">
        <v>8</v>
      </c>
      <c r="AN9" s="41">
        <v>8</v>
      </c>
      <c r="AO9" s="41">
        <v>8</v>
      </c>
      <c r="AP9" s="41">
        <v>11</v>
      </c>
      <c r="AQ9" s="41">
        <v>6</v>
      </c>
      <c r="AR9" s="41">
        <v>6</v>
      </c>
      <c r="AS9" s="41">
        <v>11</v>
      </c>
      <c r="AT9" s="41">
        <v>10</v>
      </c>
      <c r="AU9" s="41">
        <v>15</v>
      </c>
      <c r="AV9" s="41">
        <v>15</v>
      </c>
      <c r="AW9" s="41">
        <v>15</v>
      </c>
      <c r="AX9" s="41">
        <v>16</v>
      </c>
      <c r="AY9" s="41">
        <v>16</v>
      </c>
    </row>
    <row r="10" spans="3:51" ht="37.5">
      <c r="C10" s="201"/>
      <c r="D10" s="36" t="s">
        <v>188</v>
      </c>
      <c r="E10" s="36" t="s">
        <v>189</v>
      </c>
      <c r="F10" s="151" t="s">
        <v>190</v>
      </c>
      <c r="G10" s="36">
        <v>38136</v>
      </c>
      <c r="H10" s="36">
        <v>38136</v>
      </c>
      <c r="I10" s="36">
        <v>38137</v>
      </c>
      <c r="J10" s="36">
        <v>38137</v>
      </c>
      <c r="K10" s="36">
        <v>38144</v>
      </c>
      <c r="L10" s="36">
        <v>38144</v>
      </c>
      <c r="M10" s="36">
        <v>38151</v>
      </c>
      <c r="N10" s="36">
        <v>38151</v>
      </c>
      <c r="O10" s="36">
        <v>38157</v>
      </c>
      <c r="P10" s="36">
        <v>38164</v>
      </c>
      <c r="Q10" s="36">
        <v>38164</v>
      </c>
      <c r="R10" s="36">
        <v>38165</v>
      </c>
      <c r="S10" s="36">
        <v>38165</v>
      </c>
      <c r="T10" s="36">
        <v>38165</v>
      </c>
      <c r="U10" s="36">
        <v>38171</v>
      </c>
      <c r="V10" s="36">
        <v>38171</v>
      </c>
      <c r="W10" s="36">
        <v>38172</v>
      </c>
      <c r="X10" s="36">
        <v>38172</v>
      </c>
      <c r="Y10" s="36">
        <v>38185</v>
      </c>
      <c r="Z10" s="36">
        <v>38185</v>
      </c>
      <c r="AA10" s="36">
        <v>38186</v>
      </c>
      <c r="AB10" s="36">
        <v>38186</v>
      </c>
      <c r="AC10" s="36">
        <v>38192</v>
      </c>
      <c r="AD10" s="36">
        <v>38193</v>
      </c>
      <c r="AE10" s="36">
        <v>38193</v>
      </c>
      <c r="AF10" s="36">
        <v>38193</v>
      </c>
      <c r="AG10" s="36">
        <v>38206</v>
      </c>
      <c r="AH10" s="36">
        <v>38206</v>
      </c>
      <c r="AI10" s="36">
        <v>38207</v>
      </c>
      <c r="AJ10" s="36">
        <v>38207</v>
      </c>
      <c r="AK10" s="36">
        <v>38227</v>
      </c>
      <c r="AL10" s="36">
        <v>38227</v>
      </c>
      <c r="AM10" s="36">
        <v>38227</v>
      </c>
      <c r="AN10" s="36">
        <v>38228</v>
      </c>
      <c r="AO10" s="36">
        <v>38228</v>
      </c>
      <c r="AP10" s="36">
        <v>38234</v>
      </c>
      <c r="AQ10" s="36">
        <v>38235</v>
      </c>
      <c r="AR10" s="36">
        <v>38235</v>
      </c>
      <c r="AS10" s="36">
        <v>38242</v>
      </c>
      <c r="AT10" s="36">
        <v>38263</v>
      </c>
      <c r="AU10" s="36">
        <v>38269</v>
      </c>
      <c r="AV10" s="36">
        <v>38269</v>
      </c>
      <c r="AW10" s="36">
        <v>38269</v>
      </c>
      <c r="AX10" s="36">
        <v>38270</v>
      </c>
      <c r="AY10" s="36">
        <v>38270</v>
      </c>
    </row>
    <row r="11" spans="1:51" ht="11.25">
      <c r="A11" s="27">
        <v>1</v>
      </c>
      <c r="B11" s="27">
        <v>221</v>
      </c>
      <c r="C11" s="202" t="s">
        <v>305</v>
      </c>
      <c r="D11" s="48">
        <f>COUNTA(G11:AY11)</f>
        <v>33</v>
      </c>
      <c r="E11" s="48">
        <f aca="true" t="shared" si="0" ref="E11:E29">MIN(INT(D11/10),3)</f>
        <v>3</v>
      </c>
      <c r="F11" s="61">
        <f>C_S_G($G11:AY11,$G$9:AY$9,csg_table,D$9,E11)</f>
        <v>0.9207708779443254</v>
      </c>
      <c r="G11" s="48">
        <v>2</v>
      </c>
      <c r="H11" s="48">
        <v>4</v>
      </c>
      <c r="I11" s="48">
        <v>3</v>
      </c>
      <c r="J11" s="48">
        <v>4</v>
      </c>
      <c r="K11" s="48"/>
      <c r="L11" s="48"/>
      <c r="M11" s="48"/>
      <c r="N11" s="48"/>
      <c r="O11" s="48"/>
      <c r="P11" s="48">
        <v>2</v>
      </c>
      <c r="Q11" s="48">
        <v>1</v>
      </c>
      <c r="R11" s="48">
        <v>2</v>
      </c>
      <c r="S11" s="48">
        <v>2</v>
      </c>
      <c r="T11" s="48">
        <v>1</v>
      </c>
      <c r="U11" s="48">
        <v>1</v>
      </c>
      <c r="V11" s="48">
        <v>1</v>
      </c>
      <c r="W11" s="48">
        <v>4</v>
      </c>
      <c r="X11" s="48">
        <v>3</v>
      </c>
      <c r="Y11" s="48">
        <v>2</v>
      </c>
      <c r="Z11" s="48">
        <v>2</v>
      </c>
      <c r="AA11" s="48">
        <v>5</v>
      </c>
      <c r="AB11" s="48">
        <v>1</v>
      </c>
      <c r="AC11" s="48">
        <v>6</v>
      </c>
      <c r="AD11" s="48">
        <v>1</v>
      </c>
      <c r="AE11" s="48">
        <v>3</v>
      </c>
      <c r="AF11" s="48">
        <v>5</v>
      </c>
      <c r="AG11" s="48">
        <v>1</v>
      </c>
      <c r="AH11" s="48">
        <v>3</v>
      </c>
      <c r="AI11" s="48">
        <v>2</v>
      </c>
      <c r="AJ11" s="48">
        <v>6</v>
      </c>
      <c r="AK11" s="48">
        <v>1</v>
      </c>
      <c r="AL11" s="48">
        <v>3</v>
      </c>
      <c r="AM11" s="48">
        <v>4</v>
      </c>
      <c r="AN11" s="48">
        <v>1</v>
      </c>
      <c r="AO11" s="48">
        <v>3</v>
      </c>
      <c r="AP11" s="48">
        <v>1</v>
      </c>
      <c r="AQ11" s="48">
        <v>3</v>
      </c>
      <c r="AR11" s="48">
        <v>1</v>
      </c>
      <c r="AS11" s="48"/>
      <c r="AT11" s="48"/>
      <c r="AU11" s="48"/>
      <c r="AV11" s="48"/>
      <c r="AW11" s="48"/>
      <c r="AX11" s="48"/>
      <c r="AY11" s="48"/>
    </row>
    <row r="12" spans="1:51" ht="11.25">
      <c r="A12" s="27">
        <v>2</v>
      </c>
      <c r="B12" s="27">
        <v>231</v>
      </c>
      <c r="C12" s="31" t="s">
        <v>719</v>
      </c>
      <c r="D12" s="32">
        <f>COUNTA(G12:AY12)+1</f>
        <v>26</v>
      </c>
      <c r="E12" s="32">
        <f t="shared" si="0"/>
        <v>2</v>
      </c>
      <c r="F12" s="33">
        <f>C_S_G($G12:AY12,$G$9:AY$9,csg_table,D$9,E12)</f>
        <v>0.8996397323726196</v>
      </c>
      <c r="G12" s="32"/>
      <c r="H12" s="32"/>
      <c r="I12" s="32"/>
      <c r="J12" s="32"/>
      <c r="K12" s="32">
        <v>3</v>
      </c>
      <c r="L12" s="32">
        <v>4</v>
      </c>
      <c r="M12" s="32">
        <v>1</v>
      </c>
      <c r="N12" s="32"/>
      <c r="O12" s="32"/>
      <c r="P12" s="32"/>
      <c r="Q12" s="32"/>
      <c r="R12" s="32"/>
      <c r="S12" s="32"/>
      <c r="T12" s="32"/>
      <c r="U12" s="32">
        <v>7</v>
      </c>
      <c r="V12" s="32">
        <v>2</v>
      </c>
      <c r="W12" s="32">
        <v>1</v>
      </c>
      <c r="X12" s="32">
        <v>4</v>
      </c>
      <c r="Y12" s="32">
        <v>5</v>
      </c>
      <c r="Z12" s="32">
        <v>1</v>
      </c>
      <c r="AA12" s="32">
        <v>1</v>
      </c>
      <c r="AB12" s="32">
        <v>3</v>
      </c>
      <c r="AC12" s="32">
        <v>2</v>
      </c>
      <c r="AD12" s="32">
        <v>3</v>
      </c>
      <c r="AE12" s="32">
        <v>4</v>
      </c>
      <c r="AF12" s="32">
        <v>6</v>
      </c>
      <c r="AG12" s="32"/>
      <c r="AH12" s="32"/>
      <c r="AI12" s="32"/>
      <c r="AJ12" s="32"/>
      <c r="AK12" s="32"/>
      <c r="AL12" s="32"/>
      <c r="AM12" s="32"/>
      <c r="AN12" s="32"/>
      <c r="AO12" s="32"/>
      <c r="AP12" s="32">
        <v>4</v>
      </c>
      <c r="AQ12" s="32">
        <v>2</v>
      </c>
      <c r="AR12" s="32">
        <v>3</v>
      </c>
      <c r="AS12" s="32">
        <v>8</v>
      </c>
      <c r="AT12" s="32">
        <v>4</v>
      </c>
      <c r="AU12" s="32">
        <v>6</v>
      </c>
      <c r="AV12" s="32">
        <v>2</v>
      </c>
      <c r="AW12" s="32">
        <v>2</v>
      </c>
      <c r="AX12" s="32">
        <v>1</v>
      </c>
      <c r="AY12" s="32">
        <v>1</v>
      </c>
    </row>
    <row r="13" spans="1:51" ht="11.25">
      <c r="A13" s="27">
        <v>3</v>
      </c>
      <c r="B13" s="27">
        <v>106</v>
      </c>
      <c r="C13" s="31" t="s">
        <v>318</v>
      </c>
      <c r="D13" s="32">
        <f>COUNTA(G13:AY13)</f>
        <v>27</v>
      </c>
      <c r="E13" s="32">
        <f t="shared" si="0"/>
        <v>2</v>
      </c>
      <c r="F13" s="33">
        <f>C_S_G($G13:AY13,$G$9:AY$9,csg_table,D$9,E13)</f>
        <v>0.8959232613908873</v>
      </c>
      <c r="G13" s="32">
        <v>3</v>
      </c>
      <c r="H13" s="32">
        <v>1</v>
      </c>
      <c r="I13" s="32">
        <v>1</v>
      </c>
      <c r="J13" s="32">
        <v>3</v>
      </c>
      <c r="K13" s="32">
        <v>6</v>
      </c>
      <c r="L13" s="32">
        <v>6</v>
      </c>
      <c r="M13" s="32"/>
      <c r="N13" s="32"/>
      <c r="O13" s="32">
        <v>2</v>
      </c>
      <c r="P13" s="32"/>
      <c r="Q13" s="32"/>
      <c r="R13" s="32"/>
      <c r="S13" s="32"/>
      <c r="T13" s="32"/>
      <c r="U13" s="32"/>
      <c r="V13" s="32"/>
      <c r="W13" s="32"/>
      <c r="X13" s="32"/>
      <c r="Y13" s="32">
        <v>3</v>
      </c>
      <c r="Z13" s="32">
        <v>3</v>
      </c>
      <c r="AA13" s="32">
        <v>3</v>
      </c>
      <c r="AB13" s="32">
        <v>2</v>
      </c>
      <c r="AC13" s="32">
        <v>7</v>
      </c>
      <c r="AD13" s="32">
        <v>2</v>
      </c>
      <c r="AE13" s="32">
        <v>8</v>
      </c>
      <c r="AF13" s="32">
        <v>10</v>
      </c>
      <c r="AG13" s="32">
        <v>6</v>
      </c>
      <c r="AH13" s="32">
        <v>2</v>
      </c>
      <c r="AI13" s="32">
        <v>1</v>
      </c>
      <c r="AJ13" s="32">
        <v>1</v>
      </c>
      <c r="AK13" s="32"/>
      <c r="AL13" s="32"/>
      <c r="AM13" s="32"/>
      <c r="AN13" s="32"/>
      <c r="AO13" s="32"/>
      <c r="AP13" s="32">
        <v>2</v>
      </c>
      <c r="AQ13" s="32"/>
      <c r="AR13" s="32"/>
      <c r="AS13" s="32">
        <v>1</v>
      </c>
      <c r="AT13" s="32">
        <v>1</v>
      </c>
      <c r="AU13" s="32">
        <v>1</v>
      </c>
      <c r="AV13" s="32">
        <v>7</v>
      </c>
      <c r="AW13" s="32">
        <v>3</v>
      </c>
      <c r="AX13" s="32">
        <v>2</v>
      </c>
      <c r="AY13" s="32">
        <v>5</v>
      </c>
    </row>
    <row r="14" spans="1:51" ht="11.25">
      <c r="A14" s="27">
        <v>4</v>
      </c>
      <c r="B14" s="27">
        <v>25</v>
      </c>
      <c r="C14" s="31" t="s">
        <v>317</v>
      </c>
      <c r="D14" s="32">
        <f>COUNTA(G14:AY14)</f>
        <v>45</v>
      </c>
      <c r="E14" s="32">
        <f t="shared" si="0"/>
        <v>3</v>
      </c>
      <c r="F14" s="33">
        <f>C_S_G($G14:AY14,$G$9:AY$9,csg_table,D$9,E14)</f>
        <v>0.8939621507960348</v>
      </c>
      <c r="G14" s="32">
        <v>1</v>
      </c>
      <c r="H14" s="32">
        <v>2</v>
      </c>
      <c r="I14" s="32">
        <v>2</v>
      </c>
      <c r="J14" s="32">
        <v>1</v>
      </c>
      <c r="K14" s="32">
        <v>1</v>
      </c>
      <c r="L14" s="32">
        <v>2</v>
      </c>
      <c r="M14" s="32">
        <v>2</v>
      </c>
      <c r="N14" s="32">
        <v>1</v>
      </c>
      <c r="O14" s="32">
        <v>1</v>
      </c>
      <c r="P14" s="32">
        <v>1</v>
      </c>
      <c r="Q14" s="32">
        <v>3</v>
      </c>
      <c r="R14" s="32">
        <v>1</v>
      </c>
      <c r="S14" s="32">
        <v>3</v>
      </c>
      <c r="T14" s="32">
        <v>3</v>
      </c>
      <c r="U14" s="32">
        <v>3</v>
      </c>
      <c r="V14" s="32">
        <v>4</v>
      </c>
      <c r="W14" s="32">
        <v>2</v>
      </c>
      <c r="X14" s="32">
        <v>1</v>
      </c>
      <c r="Y14" s="32">
        <v>1</v>
      </c>
      <c r="Z14" s="32">
        <v>6</v>
      </c>
      <c r="AA14" s="32">
        <v>6</v>
      </c>
      <c r="AB14" s="32">
        <v>6</v>
      </c>
      <c r="AC14" s="32">
        <v>4</v>
      </c>
      <c r="AD14" s="32">
        <v>4</v>
      </c>
      <c r="AE14" s="32">
        <v>6</v>
      </c>
      <c r="AF14" s="32">
        <v>1</v>
      </c>
      <c r="AG14" s="32">
        <v>5</v>
      </c>
      <c r="AH14" s="32">
        <v>1</v>
      </c>
      <c r="AI14" s="32">
        <v>4</v>
      </c>
      <c r="AJ14" s="32" t="s">
        <v>427</v>
      </c>
      <c r="AK14" s="32">
        <v>4</v>
      </c>
      <c r="AL14" s="32">
        <v>1</v>
      </c>
      <c r="AM14" s="32">
        <v>1</v>
      </c>
      <c r="AN14" s="32">
        <v>7</v>
      </c>
      <c r="AO14" s="32">
        <v>1</v>
      </c>
      <c r="AP14" s="32">
        <v>5</v>
      </c>
      <c r="AQ14" s="32">
        <v>4</v>
      </c>
      <c r="AR14" s="32">
        <v>4</v>
      </c>
      <c r="AS14" s="32">
        <v>4</v>
      </c>
      <c r="AT14" s="32">
        <v>2</v>
      </c>
      <c r="AU14" s="32">
        <v>4</v>
      </c>
      <c r="AV14" s="32">
        <v>3</v>
      </c>
      <c r="AW14" s="32">
        <v>7</v>
      </c>
      <c r="AX14" s="32">
        <v>5</v>
      </c>
      <c r="AY14" s="32">
        <v>3</v>
      </c>
    </row>
    <row r="15" spans="1:51" ht="11.25">
      <c r="A15" s="27">
        <v>5</v>
      </c>
      <c r="B15" s="27">
        <v>49</v>
      </c>
      <c r="C15" s="31" t="s">
        <v>319</v>
      </c>
      <c r="D15" s="32">
        <f>COUNTA(G15:AY15)+1</f>
        <v>34</v>
      </c>
      <c r="E15" s="32">
        <f t="shared" si="0"/>
        <v>3</v>
      </c>
      <c r="F15" s="33">
        <f>C_S_G($G15:AY15,$G$9:AY$9,csg_table,D$9,E15)</f>
        <v>0.8598912588874947</v>
      </c>
      <c r="G15" s="32">
        <v>5</v>
      </c>
      <c r="H15" s="32">
        <v>5</v>
      </c>
      <c r="I15" s="32">
        <v>5</v>
      </c>
      <c r="J15" s="32">
        <v>5</v>
      </c>
      <c r="K15" s="32">
        <v>2</v>
      </c>
      <c r="L15" s="32">
        <v>1</v>
      </c>
      <c r="M15" s="32">
        <v>3</v>
      </c>
      <c r="N15" s="32">
        <v>3</v>
      </c>
      <c r="O15" s="32">
        <v>4</v>
      </c>
      <c r="P15" s="32"/>
      <c r="Q15" s="32"/>
      <c r="R15" s="32"/>
      <c r="S15" s="32"/>
      <c r="T15" s="32"/>
      <c r="U15" s="32"/>
      <c r="V15" s="32"/>
      <c r="W15" s="32"/>
      <c r="X15" s="32"/>
      <c r="Y15" s="32">
        <v>8</v>
      </c>
      <c r="Z15" s="32">
        <v>4</v>
      </c>
      <c r="AA15" s="32">
        <v>7</v>
      </c>
      <c r="AB15" s="32">
        <v>5</v>
      </c>
      <c r="AC15" s="32">
        <v>1</v>
      </c>
      <c r="AD15" s="32">
        <v>5</v>
      </c>
      <c r="AE15" s="32">
        <v>2</v>
      </c>
      <c r="AF15" s="32">
        <v>3</v>
      </c>
      <c r="AG15" s="32"/>
      <c r="AH15" s="32"/>
      <c r="AI15" s="32">
        <v>5</v>
      </c>
      <c r="AJ15" s="32">
        <v>3</v>
      </c>
      <c r="AK15" s="32">
        <v>2</v>
      </c>
      <c r="AL15" s="32">
        <v>2</v>
      </c>
      <c r="AM15" s="32">
        <v>5</v>
      </c>
      <c r="AN15" s="32">
        <v>2</v>
      </c>
      <c r="AO15" s="32">
        <v>2</v>
      </c>
      <c r="AP15" s="32">
        <v>3</v>
      </c>
      <c r="AQ15" s="32">
        <v>1</v>
      </c>
      <c r="AR15" s="32">
        <v>2</v>
      </c>
      <c r="AS15" s="32"/>
      <c r="AT15" s="32">
        <v>6</v>
      </c>
      <c r="AU15" s="32">
        <v>3</v>
      </c>
      <c r="AV15" s="32">
        <v>5</v>
      </c>
      <c r="AW15" s="32">
        <v>6</v>
      </c>
      <c r="AX15" s="32">
        <v>3</v>
      </c>
      <c r="AY15" s="32">
        <v>8</v>
      </c>
    </row>
    <row r="16" spans="1:51" ht="11.25">
      <c r="A16" s="27">
        <v>6</v>
      </c>
      <c r="B16" s="27">
        <v>182</v>
      </c>
      <c r="C16" s="31" t="s">
        <v>720</v>
      </c>
      <c r="D16" s="32">
        <f>COUNTA(G16:AY16)</f>
        <v>27</v>
      </c>
      <c r="E16" s="32">
        <f t="shared" si="0"/>
        <v>2</v>
      </c>
      <c r="F16" s="33">
        <f>C_S_G($G16:AY16,$G$9:AY$9,csg_table,D$9,E16)</f>
        <v>0.8572127139364303</v>
      </c>
      <c r="G16" s="32"/>
      <c r="H16" s="32"/>
      <c r="I16" s="32"/>
      <c r="J16" s="32"/>
      <c r="K16" s="32">
        <v>4</v>
      </c>
      <c r="L16" s="32">
        <v>3</v>
      </c>
      <c r="M16" s="32">
        <v>4</v>
      </c>
      <c r="N16" s="32">
        <v>2</v>
      </c>
      <c r="O16" s="32"/>
      <c r="P16" s="32">
        <v>3</v>
      </c>
      <c r="Q16" s="32">
        <v>2</v>
      </c>
      <c r="R16" s="32">
        <v>3</v>
      </c>
      <c r="S16" s="32" t="s">
        <v>360</v>
      </c>
      <c r="T16" s="32">
        <v>4</v>
      </c>
      <c r="U16" s="32">
        <v>2</v>
      </c>
      <c r="V16" s="32">
        <v>7</v>
      </c>
      <c r="W16" s="32">
        <v>3</v>
      </c>
      <c r="X16" s="32">
        <v>2</v>
      </c>
      <c r="Y16" s="32">
        <v>4</v>
      </c>
      <c r="Z16" s="32">
        <v>5</v>
      </c>
      <c r="AA16" s="32">
        <v>2</v>
      </c>
      <c r="AB16" s="32">
        <v>4</v>
      </c>
      <c r="AC16" s="32">
        <v>9</v>
      </c>
      <c r="AD16" s="32">
        <v>6</v>
      </c>
      <c r="AE16" s="32">
        <v>1</v>
      </c>
      <c r="AF16" s="32">
        <v>4</v>
      </c>
      <c r="AG16" s="32">
        <v>3</v>
      </c>
      <c r="AH16" s="32">
        <v>5</v>
      </c>
      <c r="AI16" s="32">
        <v>3</v>
      </c>
      <c r="AJ16" s="32">
        <v>4</v>
      </c>
      <c r="AK16" s="32"/>
      <c r="AL16" s="32"/>
      <c r="AM16" s="32"/>
      <c r="AN16" s="32"/>
      <c r="AO16" s="32"/>
      <c r="AP16" s="32"/>
      <c r="AQ16" s="32"/>
      <c r="AR16" s="32"/>
      <c r="AS16" s="32"/>
      <c r="AT16" s="32"/>
      <c r="AU16" s="32"/>
      <c r="AV16" s="32"/>
      <c r="AW16" s="32"/>
      <c r="AX16" s="32">
        <v>12</v>
      </c>
      <c r="AY16" s="32">
        <v>2</v>
      </c>
    </row>
    <row r="17" spans="1:51" ht="11.25">
      <c r="A17" s="27">
        <v>7</v>
      </c>
      <c r="B17" s="27">
        <v>176</v>
      </c>
      <c r="C17" s="31" t="s">
        <v>402</v>
      </c>
      <c r="D17" s="32">
        <f>COUNTA(G17:AY17)</f>
        <v>26</v>
      </c>
      <c r="E17" s="32">
        <f t="shared" si="0"/>
        <v>2</v>
      </c>
      <c r="F17" s="33">
        <f>C_S_G($G17:AY17,$G$9:AY$9,csg_table,D$9,E17)</f>
        <v>0.7662141779788839</v>
      </c>
      <c r="G17" s="32"/>
      <c r="H17" s="32"/>
      <c r="I17" s="32"/>
      <c r="J17" s="32"/>
      <c r="K17" s="32"/>
      <c r="L17" s="32"/>
      <c r="M17" s="32"/>
      <c r="N17" s="32"/>
      <c r="O17" s="32">
        <v>3</v>
      </c>
      <c r="P17" s="32"/>
      <c r="Q17" s="32"/>
      <c r="R17" s="32"/>
      <c r="S17" s="32"/>
      <c r="T17" s="32"/>
      <c r="U17" s="32"/>
      <c r="V17" s="32"/>
      <c r="W17" s="32"/>
      <c r="X17" s="32"/>
      <c r="Y17" s="32">
        <v>10</v>
      </c>
      <c r="Z17" s="32">
        <v>9</v>
      </c>
      <c r="AA17" s="32">
        <v>9</v>
      </c>
      <c r="AB17" s="32">
        <v>10</v>
      </c>
      <c r="AC17" s="32">
        <v>11</v>
      </c>
      <c r="AD17" s="32">
        <v>8</v>
      </c>
      <c r="AE17" s="32">
        <v>7</v>
      </c>
      <c r="AF17" s="32">
        <v>7</v>
      </c>
      <c r="AG17" s="32">
        <v>2</v>
      </c>
      <c r="AH17" s="32">
        <v>7</v>
      </c>
      <c r="AI17" s="32">
        <v>8</v>
      </c>
      <c r="AJ17" s="32">
        <v>5</v>
      </c>
      <c r="AK17" s="32">
        <v>3</v>
      </c>
      <c r="AL17" s="32">
        <v>4</v>
      </c>
      <c r="AM17" s="32">
        <v>2</v>
      </c>
      <c r="AN17" s="32">
        <v>4</v>
      </c>
      <c r="AO17" s="32">
        <v>5</v>
      </c>
      <c r="AP17" s="32">
        <v>6</v>
      </c>
      <c r="AQ17" s="32"/>
      <c r="AR17" s="32"/>
      <c r="AS17" s="32">
        <v>2</v>
      </c>
      <c r="AT17" s="32">
        <v>5</v>
      </c>
      <c r="AU17" s="32">
        <v>9</v>
      </c>
      <c r="AV17" s="32">
        <v>8</v>
      </c>
      <c r="AW17" s="32">
        <v>9</v>
      </c>
      <c r="AX17" s="32">
        <v>11</v>
      </c>
      <c r="AY17" s="32">
        <v>11</v>
      </c>
    </row>
    <row r="18" spans="1:51" ht="11.25">
      <c r="A18" s="27">
        <v>8</v>
      </c>
      <c r="B18" s="27">
        <v>70</v>
      </c>
      <c r="C18" s="31" t="s">
        <v>320</v>
      </c>
      <c r="D18" s="32">
        <f>COUNTA(G18:AY18)</f>
        <v>32</v>
      </c>
      <c r="E18" s="32">
        <f t="shared" si="0"/>
        <v>3</v>
      </c>
      <c r="F18" s="33">
        <f>C_S_G($G18:AY18,$G$9:AY$9,csg_table,D$9,E18)</f>
        <v>0.7490713990920347</v>
      </c>
      <c r="G18" s="32">
        <v>6</v>
      </c>
      <c r="H18" s="32">
        <v>3</v>
      </c>
      <c r="I18" s="32">
        <v>8</v>
      </c>
      <c r="J18" s="32">
        <v>7</v>
      </c>
      <c r="K18" s="32">
        <v>5</v>
      </c>
      <c r="L18" s="32">
        <v>7</v>
      </c>
      <c r="M18" s="32"/>
      <c r="N18" s="32"/>
      <c r="O18" s="32"/>
      <c r="P18" s="32">
        <v>7</v>
      </c>
      <c r="Q18" s="32">
        <v>6</v>
      </c>
      <c r="R18" s="32">
        <v>5</v>
      </c>
      <c r="S18" s="32" t="s">
        <v>360</v>
      </c>
      <c r="T18" s="32">
        <v>6</v>
      </c>
      <c r="U18" s="32">
        <v>4</v>
      </c>
      <c r="V18" s="32">
        <v>5</v>
      </c>
      <c r="W18" s="32">
        <v>5</v>
      </c>
      <c r="X18" s="32">
        <v>5</v>
      </c>
      <c r="Y18" s="32">
        <v>7</v>
      </c>
      <c r="Z18" s="32">
        <v>8</v>
      </c>
      <c r="AA18" s="32">
        <v>13</v>
      </c>
      <c r="AB18" s="32">
        <v>9</v>
      </c>
      <c r="AC18" s="32">
        <v>5</v>
      </c>
      <c r="AD18" s="32">
        <v>10</v>
      </c>
      <c r="AE18" s="32">
        <v>10</v>
      </c>
      <c r="AF18" s="32">
        <v>11</v>
      </c>
      <c r="AG18" s="32"/>
      <c r="AH18" s="32"/>
      <c r="AI18" s="32">
        <v>6</v>
      </c>
      <c r="AJ18" s="32">
        <v>2</v>
      </c>
      <c r="AK18" s="32"/>
      <c r="AL18" s="32"/>
      <c r="AM18" s="32"/>
      <c r="AN18" s="32"/>
      <c r="AO18" s="32"/>
      <c r="AP18" s="32"/>
      <c r="AQ18" s="32"/>
      <c r="AR18" s="32"/>
      <c r="AS18" s="32">
        <v>9</v>
      </c>
      <c r="AT18" s="32">
        <v>9</v>
      </c>
      <c r="AU18" s="32">
        <v>2</v>
      </c>
      <c r="AV18" s="32">
        <v>12</v>
      </c>
      <c r="AW18" s="32">
        <v>8</v>
      </c>
      <c r="AX18" s="32">
        <v>16</v>
      </c>
      <c r="AY18" s="32">
        <v>15</v>
      </c>
    </row>
    <row r="19" spans="1:51" ht="11.25">
      <c r="A19" s="27">
        <v>9</v>
      </c>
      <c r="B19" s="27">
        <v>117</v>
      </c>
      <c r="C19" s="31" t="s">
        <v>304</v>
      </c>
      <c r="D19" s="32">
        <f>COUNTA(G19:AY19)</f>
        <v>30</v>
      </c>
      <c r="E19" s="32">
        <f t="shared" si="0"/>
        <v>3</v>
      </c>
      <c r="F19" s="33">
        <f>C_S_G($G19:AY19,$G$9:AY$9,csg_table,D$9,E19)</f>
        <v>0.735909090909091</v>
      </c>
      <c r="G19" s="32"/>
      <c r="H19" s="32"/>
      <c r="I19" s="32"/>
      <c r="J19" s="32"/>
      <c r="K19" s="32"/>
      <c r="L19" s="32"/>
      <c r="M19" s="32"/>
      <c r="N19" s="32"/>
      <c r="O19" s="32"/>
      <c r="P19" s="32">
        <v>11</v>
      </c>
      <c r="Q19" s="32">
        <v>9</v>
      </c>
      <c r="R19" s="32" t="s">
        <v>299</v>
      </c>
      <c r="S19" s="32">
        <v>9</v>
      </c>
      <c r="T19" s="32"/>
      <c r="U19" s="32"/>
      <c r="V19" s="32"/>
      <c r="W19" s="32"/>
      <c r="X19" s="32"/>
      <c r="Y19" s="32">
        <v>6</v>
      </c>
      <c r="Z19" s="32">
        <v>7</v>
      </c>
      <c r="AA19" s="32">
        <v>4</v>
      </c>
      <c r="AB19" s="32"/>
      <c r="AC19" s="32">
        <v>3</v>
      </c>
      <c r="AD19" s="32">
        <v>7</v>
      </c>
      <c r="AE19" s="32">
        <v>5</v>
      </c>
      <c r="AF19" s="32">
        <v>2</v>
      </c>
      <c r="AG19" s="32">
        <v>4</v>
      </c>
      <c r="AH19" s="32">
        <v>4</v>
      </c>
      <c r="AI19" s="32">
        <v>7</v>
      </c>
      <c r="AJ19" s="32">
        <v>7</v>
      </c>
      <c r="AK19" s="32">
        <v>6</v>
      </c>
      <c r="AL19" s="32">
        <v>7</v>
      </c>
      <c r="AM19" s="32">
        <v>8</v>
      </c>
      <c r="AN19" s="32">
        <v>8</v>
      </c>
      <c r="AO19" s="32">
        <v>8</v>
      </c>
      <c r="AP19" s="32">
        <v>9</v>
      </c>
      <c r="AQ19" s="32">
        <v>5</v>
      </c>
      <c r="AR19" s="32">
        <v>5</v>
      </c>
      <c r="AS19" s="32">
        <v>10</v>
      </c>
      <c r="AT19" s="32">
        <v>8</v>
      </c>
      <c r="AU19" s="32">
        <v>13</v>
      </c>
      <c r="AV19" s="32">
        <v>11</v>
      </c>
      <c r="AW19" s="32">
        <v>14</v>
      </c>
      <c r="AX19" s="32">
        <v>10</v>
      </c>
      <c r="AY19" s="32">
        <v>16</v>
      </c>
    </row>
    <row r="20" spans="1:51" ht="11.25">
      <c r="A20" s="27">
        <v>10</v>
      </c>
      <c r="B20" s="27">
        <v>142</v>
      </c>
      <c r="C20" s="31" t="s">
        <v>322</v>
      </c>
      <c r="D20" s="32">
        <f>COUNTA(G20:AY20)+1</f>
        <v>29</v>
      </c>
      <c r="E20" s="32">
        <f t="shared" si="0"/>
        <v>2</v>
      </c>
      <c r="F20" s="33">
        <f>C_S_G($G20:AY20,$G$9:AY$9,csg_table,D$9,E20)</f>
        <v>0.7213504517356157</v>
      </c>
      <c r="G20" s="32"/>
      <c r="H20" s="32"/>
      <c r="I20" s="32"/>
      <c r="J20" s="32"/>
      <c r="K20" s="32"/>
      <c r="L20" s="32"/>
      <c r="M20" s="32">
        <v>7</v>
      </c>
      <c r="N20" s="32">
        <v>5</v>
      </c>
      <c r="O20" s="32"/>
      <c r="P20" s="32"/>
      <c r="Q20" s="32"/>
      <c r="R20" s="32"/>
      <c r="S20" s="32"/>
      <c r="T20" s="32"/>
      <c r="U20" s="32">
        <v>6</v>
      </c>
      <c r="V20" s="32">
        <v>6</v>
      </c>
      <c r="W20" s="32">
        <v>8</v>
      </c>
      <c r="X20" s="32">
        <v>7</v>
      </c>
      <c r="Y20" s="32">
        <v>13</v>
      </c>
      <c r="Z20" s="32">
        <v>10</v>
      </c>
      <c r="AA20" s="32">
        <v>10</v>
      </c>
      <c r="AB20" s="32">
        <v>7</v>
      </c>
      <c r="AC20" s="32">
        <v>8</v>
      </c>
      <c r="AD20" s="32">
        <v>9</v>
      </c>
      <c r="AE20" s="32">
        <v>12</v>
      </c>
      <c r="AF20" s="32">
        <v>12</v>
      </c>
      <c r="AG20" s="32"/>
      <c r="AH20" s="32"/>
      <c r="AI20" s="32"/>
      <c r="AJ20" s="32"/>
      <c r="AK20" s="32">
        <v>7</v>
      </c>
      <c r="AL20" s="32">
        <v>6</v>
      </c>
      <c r="AM20" s="32">
        <v>6</v>
      </c>
      <c r="AN20" s="32">
        <v>3</v>
      </c>
      <c r="AO20" s="32">
        <v>4</v>
      </c>
      <c r="AP20" s="32">
        <v>10</v>
      </c>
      <c r="AQ20" s="32">
        <v>6</v>
      </c>
      <c r="AR20" s="32">
        <v>6</v>
      </c>
      <c r="AS20" s="32">
        <v>5</v>
      </c>
      <c r="AT20" s="32"/>
      <c r="AU20" s="32">
        <v>11</v>
      </c>
      <c r="AV20" s="32">
        <v>9</v>
      </c>
      <c r="AW20" s="32">
        <v>11</v>
      </c>
      <c r="AX20" s="32">
        <v>7</v>
      </c>
      <c r="AY20" s="32">
        <v>7</v>
      </c>
    </row>
    <row r="21" spans="1:51" ht="11.25">
      <c r="A21" s="27">
        <v>11</v>
      </c>
      <c r="B21" s="27">
        <v>38</v>
      </c>
      <c r="C21" s="31" t="s">
        <v>303</v>
      </c>
      <c r="D21" s="32">
        <f>COUNTA(G21:AY21)</f>
        <v>29</v>
      </c>
      <c r="E21" s="32">
        <f t="shared" si="0"/>
        <v>2</v>
      </c>
      <c r="F21" s="33">
        <f>C_S_G($G21:AY21,$G$9:AY$9,csg_table,D$9,E21)</f>
        <v>0.7044948820649756</v>
      </c>
      <c r="G21" s="32" t="s">
        <v>299</v>
      </c>
      <c r="H21" s="32"/>
      <c r="I21" s="32"/>
      <c r="J21" s="32"/>
      <c r="K21" s="32">
        <v>10</v>
      </c>
      <c r="L21" s="32"/>
      <c r="M21" s="32" t="s">
        <v>299</v>
      </c>
      <c r="N21" s="32"/>
      <c r="O21" s="32"/>
      <c r="P21" s="32"/>
      <c r="Q21" s="32"/>
      <c r="R21" s="32"/>
      <c r="S21" s="32"/>
      <c r="T21" s="32"/>
      <c r="U21" s="32"/>
      <c r="V21" s="32"/>
      <c r="W21" s="32">
        <v>9</v>
      </c>
      <c r="X21" s="32"/>
      <c r="Y21" s="32">
        <v>15</v>
      </c>
      <c r="Z21" s="32">
        <v>15</v>
      </c>
      <c r="AA21" s="32">
        <v>17</v>
      </c>
      <c r="AB21" s="32">
        <v>16</v>
      </c>
      <c r="AC21" s="32">
        <v>10</v>
      </c>
      <c r="AD21" s="32">
        <v>12</v>
      </c>
      <c r="AE21" s="32">
        <v>11</v>
      </c>
      <c r="AF21" s="32">
        <v>9</v>
      </c>
      <c r="AG21" s="32">
        <v>7</v>
      </c>
      <c r="AH21" s="32">
        <v>6</v>
      </c>
      <c r="AI21" s="32">
        <v>10</v>
      </c>
      <c r="AJ21" s="32" t="s">
        <v>427</v>
      </c>
      <c r="AK21" s="32">
        <v>5</v>
      </c>
      <c r="AL21" s="32">
        <v>5</v>
      </c>
      <c r="AM21" s="32">
        <v>3</v>
      </c>
      <c r="AN21" s="32">
        <v>6</v>
      </c>
      <c r="AO21" s="32">
        <v>7</v>
      </c>
      <c r="AP21" s="32">
        <v>7</v>
      </c>
      <c r="AQ21" s="32"/>
      <c r="AR21" s="32"/>
      <c r="AS21" s="32">
        <v>3</v>
      </c>
      <c r="AT21" s="32">
        <v>7</v>
      </c>
      <c r="AU21" s="32">
        <v>8</v>
      </c>
      <c r="AV21" s="32">
        <v>10</v>
      </c>
      <c r="AW21" s="32">
        <v>10</v>
      </c>
      <c r="AX21" s="32">
        <v>9</v>
      </c>
      <c r="AY21" s="32">
        <v>6</v>
      </c>
    </row>
    <row r="22" spans="1:51" ht="11.25">
      <c r="A22" s="27">
        <v>12</v>
      </c>
      <c r="B22" s="27">
        <v>41</v>
      </c>
      <c r="C22" s="31" t="s">
        <v>321</v>
      </c>
      <c r="D22" s="32">
        <f>COUNTA(G22:AY22)+1</f>
        <v>24</v>
      </c>
      <c r="E22" s="32">
        <f t="shared" si="0"/>
        <v>2</v>
      </c>
      <c r="F22" s="33">
        <f>C_S_G($G22:AY22,$G$9:AY$9,csg_table,D$9,E22)</f>
        <v>0.7026865671641791</v>
      </c>
      <c r="G22" s="32">
        <v>7</v>
      </c>
      <c r="H22" s="32">
        <v>7</v>
      </c>
      <c r="I22" s="32">
        <v>7</v>
      </c>
      <c r="J22" s="32">
        <v>2</v>
      </c>
      <c r="K22" s="32">
        <v>7</v>
      </c>
      <c r="L22" s="32">
        <v>8</v>
      </c>
      <c r="M22" s="32">
        <v>6</v>
      </c>
      <c r="N22" s="32">
        <v>6</v>
      </c>
      <c r="O22" s="32"/>
      <c r="P22" s="32"/>
      <c r="Q22" s="32"/>
      <c r="R22" s="32"/>
      <c r="S22" s="32"/>
      <c r="T22" s="32"/>
      <c r="U22" s="32">
        <v>5</v>
      </c>
      <c r="V22" s="32">
        <v>8</v>
      </c>
      <c r="W22" s="32">
        <v>6</v>
      </c>
      <c r="X22" s="32">
        <v>6</v>
      </c>
      <c r="Y22" s="32">
        <v>9</v>
      </c>
      <c r="Z22" s="32">
        <v>13</v>
      </c>
      <c r="AA22" s="32">
        <v>11</v>
      </c>
      <c r="AB22" s="32">
        <v>14</v>
      </c>
      <c r="AC22" s="32">
        <v>12</v>
      </c>
      <c r="AD22" s="32"/>
      <c r="AE22" s="32"/>
      <c r="AF22" s="32"/>
      <c r="AG22" s="32"/>
      <c r="AH22" s="32"/>
      <c r="AI22" s="32">
        <v>11</v>
      </c>
      <c r="AJ22" s="32">
        <v>8</v>
      </c>
      <c r="AK22" s="32"/>
      <c r="AL22" s="32"/>
      <c r="AM22" s="32"/>
      <c r="AN22" s="32"/>
      <c r="AO22" s="32"/>
      <c r="AP22" s="32"/>
      <c r="AQ22" s="32"/>
      <c r="AR22" s="32"/>
      <c r="AS22" s="32">
        <v>6</v>
      </c>
      <c r="AT22" s="32">
        <v>10</v>
      </c>
      <c r="AU22" s="32"/>
      <c r="AV22" s="32"/>
      <c r="AW22" s="32"/>
      <c r="AX22" s="32">
        <v>15</v>
      </c>
      <c r="AY22" s="32">
        <v>14</v>
      </c>
    </row>
    <row r="23" spans="1:51" ht="11.25">
      <c r="A23" s="27">
        <v>13</v>
      </c>
      <c r="B23" s="27">
        <v>197</v>
      </c>
      <c r="C23" s="203" t="s">
        <v>721</v>
      </c>
      <c r="D23" s="34">
        <f aca="true" t="shared" si="1" ref="D23:D29">COUNTA(G23:AY23)</f>
        <v>24</v>
      </c>
      <c r="E23" s="34">
        <f t="shared" si="0"/>
        <v>2</v>
      </c>
      <c r="F23" s="35">
        <f>C_S_G($G23:AY23,$G$9:AY$9,csg_table,D$9,E23)</f>
        <v>0.7018599562363238</v>
      </c>
      <c r="G23" s="34">
        <v>4</v>
      </c>
      <c r="H23" s="34">
        <v>8</v>
      </c>
      <c r="I23" s="34">
        <v>4</v>
      </c>
      <c r="J23" s="34">
        <v>6</v>
      </c>
      <c r="K23" s="34">
        <v>8</v>
      </c>
      <c r="L23" s="34">
        <v>5</v>
      </c>
      <c r="M23" s="34">
        <v>5</v>
      </c>
      <c r="N23" s="34">
        <v>4</v>
      </c>
      <c r="O23" s="34">
        <v>5</v>
      </c>
      <c r="P23" s="34"/>
      <c r="Q23" s="34"/>
      <c r="R23" s="34"/>
      <c r="S23" s="34"/>
      <c r="T23" s="34"/>
      <c r="U23" s="34"/>
      <c r="V23" s="34"/>
      <c r="W23" s="34"/>
      <c r="X23" s="34"/>
      <c r="Y23" s="34">
        <v>11</v>
      </c>
      <c r="Z23" s="34">
        <v>11</v>
      </c>
      <c r="AA23" s="34">
        <v>15</v>
      </c>
      <c r="AB23" s="34">
        <v>12</v>
      </c>
      <c r="AC23" s="34">
        <v>13</v>
      </c>
      <c r="AD23" s="34">
        <v>11</v>
      </c>
      <c r="AE23" s="34">
        <v>9</v>
      </c>
      <c r="AF23" s="34">
        <v>8</v>
      </c>
      <c r="AG23" s="34"/>
      <c r="AH23" s="34"/>
      <c r="AI23" s="34"/>
      <c r="AJ23" s="34"/>
      <c r="AK23" s="34"/>
      <c r="AL23" s="34"/>
      <c r="AM23" s="34"/>
      <c r="AN23" s="34"/>
      <c r="AO23" s="34"/>
      <c r="AP23" s="34">
        <v>8</v>
      </c>
      <c r="AQ23" s="34"/>
      <c r="AR23" s="34"/>
      <c r="AS23" s="34">
        <v>7</v>
      </c>
      <c r="AT23" s="34"/>
      <c r="AU23" s="34">
        <v>12</v>
      </c>
      <c r="AV23" s="34">
        <v>13</v>
      </c>
      <c r="AW23" s="34">
        <v>13</v>
      </c>
      <c r="AX23" s="34">
        <v>13</v>
      </c>
      <c r="AY23" s="34">
        <v>12</v>
      </c>
    </row>
    <row r="24" spans="1:51" ht="11.25">
      <c r="A24" s="27">
        <v>14</v>
      </c>
      <c r="B24" s="27">
        <v>26</v>
      </c>
      <c r="C24" s="31" t="s">
        <v>324</v>
      </c>
      <c r="D24" s="32">
        <f t="shared" si="1"/>
        <v>9</v>
      </c>
      <c r="E24" s="32">
        <f t="shared" si="0"/>
        <v>0</v>
      </c>
      <c r="F24" s="33">
        <f>C_S_G($G24:AY24,$G$9:AY$9,csg_table,D$9,E24)</f>
        <v>0.7688622754491018</v>
      </c>
      <c r="G24" s="32"/>
      <c r="H24" s="32"/>
      <c r="I24" s="32"/>
      <c r="J24" s="32"/>
      <c r="K24" s="32"/>
      <c r="L24" s="32"/>
      <c r="M24" s="32"/>
      <c r="N24" s="32"/>
      <c r="O24" s="32"/>
      <c r="P24" s="32"/>
      <c r="Q24" s="32"/>
      <c r="R24" s="32"/>
      <c r="S24" s="32"/>
      <c r="T24" s="32"/>
      <c r="U24" s="32"/>
      <c r="V24" s="32"/>
      <c r="W24" s="32"/>
      <c r="X24" s="32"/>
      <c r="Y24" s="32"/>
      <c r="Z24" s="32"/>
      <c r="AA24" s="32">
        <v>14</v>
      </c>
      <c r="AB24" s="32">
        <v>8</v>
      </c>
      <c r="AC24" s="32"/>
      <c r="AD24" s="32"/>
      <c r="AE24" s="32"/>
      <c r="AF24" s="32"/>
      <c r="AG24" s="32"/>
      <c r="AH24" s="32"/>
      <c r="AI24" s="32">
        <v>9</v>
      </c>
      <c r="AJ24" s="32">
        <v>9</v>
      </c>
      <c r="AK24" s="32"/>
      <c r="AL24" s="32"/>
      <c r="AM24" s="32"/>
      <c r="AN24" s="32"/>
      <c r="AO24" s="32"/>
      <c r="AP24" s="32"/>
      <c r="AQ24" s="32"/>
      <c r="AR24" s="32"/>
      <c r="AS24" s="32"/>
      <c r="AT24" s="32"/>
      <c r="AU24" s="32">
        <v>10</v>
      </c>
      <c r="AV24" s="32">
        <v>6</v>
      </c>
      <c r="AW24" s="32">
        <v>1</v>
      </c>
      <c r="AX24" s="32">
        <v>6</v>
      </c>
      <c r="AY24" s="32">
        <v>4</v>
      </c>
    </row>
    <row r="25" spans="1:51" ht="11.25">
      <c r="A25" s="27">
        <v>15</v>
      </c>
      <c r="B25" s="27">
        <v>54</v>
      </c>
      <c r="C25" s="31" t="s">
        <v>722</v>
      </c>
      <c r="D25" s="32">
        <f t="shared" si="1"/>
        <v>12</v>
      </c>
      <c r="E25" s="32">
        <f t="shared" si="0"/>
        <v>1</v>
      </c>
      <c r="F25" s="33">
        <f>C_S_G($G25:AY25,$G$9:AY$9,csg_table,D$9,E25)</f>
        <v>0.767762460233298</v>
      </c>
      <c r="G25" s="32">
        <v>8</v>
      </c>
      <c r="H25" s="32">
        <v>6</v>
      </c>
      <c r="I25" s="32">
        <v>6</v>
      </c>
      <c r="J25" s="32">
        <v>8</v>
      </c>
      <c r="K25" s="32"/>
      <c r="L25" s="32"/>
      <c r="M25" s="32"/>
      <c r="N25" s="32"/>
      <c r="O25" s="32"/>
      <c r="P25" s="32"/>
      <c r="Q25" s="32"/>
      <c r="R25" s="32"/>
      <c r="S25" s="32"/>
      <c r="T25" s="32"/>
      <c r="U25" s="32"/>
      <c r="V25" s="32"/>
      <c r="W25" s="32"/>
      <c r="X25" s="32"/>
      <c r="Y25" s="32"/>
      <c r="Z25" s="32"/>
      <c r="AA25" s="32">
        <v>12</v>
      </c>
      <c r="AB25" s="32">
        <v>11</v>
      </c>
      <c r="AC25" s="32"/>
      <c r="AD25" s="32"/>
      <c r="AE25" s="32"/>
      <c r="AF25" s="32"/>
      <c r="AG25" s="32"/>
      <c r="AH25" s="32"/>
      <c r="AI25" s="32"/>
      <c r="AJ25" s="32"/>
      <c r="AK25" s="32"/>
      <c r="AL25" s="32"/>
      <c r="AM25" s="32"/>
      <c r="AN25" s="32"/>
      <c r="AO25" s="32"/>
      <c r="AP25" s="32"/>
      <c r="AQ25" s="32"/>
      <c r="AR25" s="32"/>
      <c r="AS25" s="32"/>
      <c r="AT25" s="32">
        <v>3</v>
      </c>
      <c r="AU25" s="32">
        <v>5</v>
      </c>
      <c r="AV25" s="32">
        <v>1</v>
      </c>
      <c r="AW25" s="32">
        <v>4</v>
      </c>
      <c r="AX25" s="32">
        <v>14</v>
      </c>
      <c r="AY25" s="32">
        <v>10</v>
      </c>
    </row>
    <row r="26" spans="1:51" ht="11.25">
      <c r="A26" s="27">
        <v>16</v>
      </c>
      <c r="B26" s="27">
        <v>183</v>
      </c>
      <c r="C26" s="31" t="s">
        <v>723</v>
      </c>
      <c r="D26" s="32">
        <f t="shared" si="1"/>
        <v>16</v>
      </c>
      <c r="E26" s="32">
        <f t="shared" si="0"/>
        <v>1</v>
      </c>
      <c r="F26" s="33">
        <f>C_S_G($G26:AY26,$G$9:AY$9,csg_table,D$9,E26)</f>
        <v>0.6729411764705883</v>
      </c>
      <c r="G26" s="32"/>
      <c r="H26" s="32"/>
      <c r="I26" s="32"/>
      <c r="J26" s="32"/>
      <c r="K26" s="32">
        <v>9</v>
      </c>
      <c r="L26" s="32">
        <v>9</v>
      </c>
      <c r="M26" s="32"/>
      <c r="N26" s="32"/>
      <c r="O26" s="32"/>
      <c r="P26" s="32"/>
      <c r="Q26" s="32"/>
      <c r="R26" s="32">
        <v>10</v>
      </c>
      <c r="S26" s="32">
        <v>7</v>
      </c>
      <c r="T26" s="32">
        <v>10</v>
      </c>
      <c r="U26" s="32">
        <v>9</v>
      </c>
      <c r="V26" s="32"/>
      <c r="W26" s="32"/>
      <c r="X26" s="32"/>
      <c r="Y26" s="32">
        <v>12</v>
      </c>
      <c r="Z26" s="32">
        <v>12</v>
      </c>
      <c r="AA26" s="32">
        <v>8</v>
      </c>
      <c r="AB26" s="32">
        <v>13</v>
      </c>
      <c r="AC26" s="32">
        <v>14</v>
      </c>
      <c r="AD26" s="32">
        <v>13</v>
      </c>
      <c r="AE26" s="32">
        <v>13</v>
      </c>
      <c r="AF26" s="32">
        <v>13</v>
      </c>
      <c r="AG26" s="32"/>
      <c r="AH26" s="32"/>
      <c r="AI26" s="32"/>
      <c r="AJ26" s="32"/>
      <c r="AK26" s="32"/>
      <c r="AL26" s="32"/>
      <c r="AM26" s="32"/>
      <c r="AN26" s="32">
        <v>5</v>
      </c>
      <c r="AO26" s="32">
        <v>6</v>
      </c>
      <c r="AP26" s="32"/>
      <c r="AQ26" s="32"/>
      <c r="AR26" s="32"/>
      <c r="AS26" s="32"/>
      <c r="AT26" s="32"/>
      <c r="AU26" s="32"/>
      <c r="AV26" s="32"/>
      <c r="AW26" s="32"/>
      <c r="AX26" s="32"/>
      <c r="AY26" s="32"/>
    </row>
    <row r="27" spans="1:51" ht="11.25">
      <c r="A27" s="27">
        <v>17</v>
      </c>
      <c r="B27" s="27">
        <v>16</v>
      </c>
      <c r="C27" s="31" t="s">
        <v>323</v>
      </c>
      <c r="D27" s="32">
        <f t="shared" si="1"/>
        <v>16</v>
      </c>
      <c r="E27" s="32">
        <f t="shared" si="0"/>
        <v>1</v>
      </c>
      <c r="F27" s="33">
        <f>C_S_G($G27:AY27,$G$9:AY$9,csg_table,D$9,E27)</f>
        <v>0.6666666666666666</v>
      </c>
      <c r="G27" s="32"/>
      <c r="H27" s="32"/>
      <c r="I27" s="32"/>
      <c r="J27" s="32"/>
      <c r="K27" s="32"/>
      <c r="L27" s="32"/>
      <c r="M27" s="32"/>
      <c r="N27" s="32"/>
      <c r="O27" s="32"/>
      <c r="P27" s="32"/>
      <c r="Q27" s="32"/>
      <c r="R27" s="32"/>
      <c r="S27" s="32"/>
      <c r="T27" s="32"/>
      <c r="U27" s="32">
        <v>8</v>
      </c>
      <c r="V27" s="32">
        <v>3</v>
      </c>
      <c r="W27" s="32"/>
      <c r="X27" s="32"/>
      <c r="Y27" s="32">
        <v>14</v>
      </c>
      <c r="Z27" s="32">
        <v>14</v>
      </c>
      <c r="AA27" s="32">
        <v>16</v>
      </c>
      <c r="AB27" s="32">
        <v>15</v>
      </c>
      <c r="AC27" s="32"/>
      <c r="AD27" s="32"/>
      <c r="AE27" s="32"/>
      <c r="AF27" s="32"/>
      <c r="AG27" s="32"/>
      <c r="AH27" s="32"/>
      <c r="AI27" s="32"/>
      <c r="AJ27" s="32"/>
      <c r="AK27" s="32">
        <v>8</v>
      </c>
      <c r="AL27" s="32">
        <v>8</v>
      </c>
      <c r="AM27" s="32">
        <v>7</v>
      </c>
      <c r="AN27" s="32"/>
      <c r="AO27" s="32"/>
      <c r="AP27" s="32">
        <v>11</v>
      </c>
      <c r="AQ27" s="32"/>
      <c r="AR27" s="32"/>
      <c r="AS27" s="32">
        <v>11</v>
      </c>
      <c r="AT27" s="32"/>
      <c r="AU27" s="32">
        <v>14</v>
      </c>
      <c r="AV27" s="32">
        <v>14</v>
      </c>
      <c r="AW27" s="32">
        <v>12</v>
      </c>
      <c r="AX27" s="32">
        <v>8</v>
      </c>
      <c r="AY27" s="32">
        <v>13</v>
      </c>
    </row>
    <row r="28" spans="1:51" ht="11.25">
      <c r="A28" s="27">
        <v>18</v>
      </c>
      <c r="B28" s="27">
        <v>5</v>
      </c>
      <c r="C28" s="31" t="s">
        <v>724</v>
      </c>
      <c r="D28" s="32">
        <f t="shared" si="1"/>
        <v>3</v>
      </c>
      <c r="E28" s="32">
        <f t="shared" si="0"/>
        <v>0</v>
      </c>
      <c r="F28" s="33">
        <f>C_S_G($G28:AY28,$G$9:AY$9,csg_table,D$9,E28)</f>
        <v>0.6161971830985915</v>
      </c>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v>15</v>
      </c>
      <c r="AV28" s="32">
        <v>15</v>
      </c>
      <c r="AW28" s="32" t="s">
        <v>299</v>
      </c>
      <c r="AX28" s="32"/>
      <c r="AY28" s="32"/>
    </row>
    <row r="29" spans="1:51" ht="11.25">
      <c r="A29" s="27">
        <v>19</v>
      </c>
      <c r="B29" s="27">
        <v>22</v>
      </c>
      <c r="C29" s="203" t="s">
        <v>725</v>
      </c>
      <c r="D29" s="34">
        <f t="shared" si="1"/>
        <v>0</v>
      </c>
      <c r="E29" s="34">
        <f t="shared" si="0"/>
        <v>0</v>
      </c>
      <c r="F29" s="35">
        <f>C_S_G($G29:AY29,$G$9:AY$9,csg_table,D$9,E29)</f>
        <v>0</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ht="11.25">
      <c r="E30" s="24"/>
    </row>
    <row r="31" ht="11.25">
      <c r="C31" s="27" t="s">
        <v>726</v>
      </c>
    </row>
    <row r="32" ht="11.25">
      <c r="C32" s="27" t="s">
        <v>727</v>
      </c>
    </row>
    <row r="34" ht="11.25">
      <c r="D34" s="210"/>
    </row>
    <row r="39" spans="3:6" ht="11.25">
      <c r="C39" s="204">
        <v>221</v>
      </c>
      <c r="F39" s="26">
        <f>C39*1</f>
        <v>221</v>
      </c>
    </row>
    <row r="40" spans="3:6" ht="11.25">
      <c r="C40" s="205">
        <v>231</v>
      </c>
      <c r="F40" s="26">
        <f aca="true" t="shared" si="2" ref="F40:F57">C40*1</f>
        <v>231</v>
      </c>
    </row>
    <row r="41" spans="3:6" ht="11.25">
      <c r="C41" s="205">
        <v>106</v>
      </c>
      <c r="F41" s="26">
        <f t="shared" si="2"/>
        <v>106</v>
      </c>
    </row>
    <row r="42" spans="3:6" ht="11.25">
      <c r="C42" s="205">
        <v>25</v>
      </c>
      <c r="F42" s="26">
        <f t="shared" si="2"/>
        <v>25</v>
      </c>
    </row>
    <row r="43" spans="3:6" ht="11.25">
      <c r="C43" s="205">
        <v>49</v>
      </c>
      <c r="F43" s="26">
        <f t="shared" si="2"/>
        <v>49</v>
      </c>
    </row>
    <row r="44" spans="3:6" ht="11.25">
      <c r="C44" s="205">
        <v>182</v>
      </c>
      <c r="F44" s="26">
        <f t="shared" si="2"/>
        <v>182</v>
      </c>
    </row>
    <row r="45" spans="3:6" ht="11.25">
      <c r="C45" s="205">
        <v>176</v>
      </c>
      <c r="F45" s="26">
        <f t="shared" si="2"/>
        <v>176</v>
      </c>
    </row>
    <row r="46" spans="3:6" ht="11.25">
      <c r="C46" s="205">
        <v>70</v>
      </c>
      <c r="F46" s="26">
        <f t="shared" si="2"/>
        <v>70</v>
      </c>
    </row>
    <row r="47" spans="3:6" ht="11.25">
      <c r="C47" s="205">
        <v>117</v>
      </c>
      <c r="F47" s="26">
        <f t="shared" si="2"/>
        <v>117</v>
      </c>
    </row>
    <row r="48" spans="3:6" ht="11.25">
      <c r="C48" s="205">
        <v>142</v>
      </c>
      <c r="F48" s="26">
        <f t="shared" si="2"/>
        <v>142</v>
      </c>
    </row>
    <row r="49" spans="3:6" ht="11.25">
      <c r="C49" s="205">
        <v>38</v>
      </c>
      <c r="F49" s="26">
        <f t="shared" si="2"/>
        <v>38</v>
      </c>
    </row>
    <row r="50" spans="3:6" ht="11.25">
      <c r="C50" s="205">
        <v>41</v>
      </c>
      <c r="F50" s="26">
        <f t="shared" si="2"/>
        <v>41</v>
      </c>
    </row>
    <row r="51" spans="3:6" ht="11.25">
      <c r="C51" s="206">
        <v>197</v>
      </c>
      <c r="F51" s="26">
        <f t="shared" si="2"/>
        <v>197</v>
      </c>
    </row>
    <row r="52" spans="3:6" ht="11.25">
      <c r="C52" s="205">
        <v>26</v>
      </c>
      <c r="F52" s="26">
        <f t="shared" si="2"/>
        <v>26</v>
      </c>
    </row>
    <row r="53" spans="3:6" ht="11.25">
      <c r="C53" s="205">
        <v>54</v>
      </c>
      <c r="F53" s="26">
        <f t="shared" si="2"/>
        <v>54</v>
      </c>
    </row>
    <row r="54" spans="3:6" ht="11.25">
      <c r="C54" s="205">
        <v>183</v>
      </c>
      <c r="F54" s="26">
        <f t="shared" si="2"/>
        <v>183</v>
      </c>
    </row>
    <row r="55" spans="3:6" ht="11.25">
      <c r="C55" s="205">
        <v>16</v>
      </c>
      <c r="F55" s="26">
        <f t="shared" si="2"/>
        <v>16</v>
      </c>
    </row>
    <row r="56" spans="3:6" ht="11.25">
      <c r="C56" s="205">
        <v>5</v>
      </c>
      <c r="F56" s="26">
        <f t="shared" si="2"/>
        <v>5</v>
      </c>
    </row>
    <row r="57" spans="3:6" ht="11.25">
      <c r="C57" s="206">
        <v>22</v>
      </c>
      <c r="F57" s="26">
        <f t="shared" si="2"/>
        <v>22</v>
      </c>
    </row>
  </sheetData>
  <sheetProtection/>
  <mergeCells count="9">
    <mergeCell ref="G5:J5"/>
    <mergeCell ref="K5:L5"/>
    <mergeCell ref="M5:N5"/>
    <mergeCell ref="U5:X5"/>
    <mergeCell ref="AU5:AY5"/>
    <mergeCell ref="Y5:AF5"/>
    <mergeCell ref="AG5:AJ5"/>
    <mergeCell ref="AK5:AO5"/>
    <mergeCell ref="AP5:AR5"/>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sheetPr codeName="Sheet10">
    <pageSetUpPr fitToPage="1"/>
  </sheetPr>
  <dimension ref="B2:O26"/>
  <sheetViews>
    <sheetView zoomScalePageLayoutView="0" workbookViewId="0" topLeftCell="A2">
      <selection activeCell="D32" sqref="D32"/>
    </sheetView>
  </sheetViews>
  <sheetFormatPr defaultColWidth="9.140625" defaultRowHeight="12.75"/>
  <cols>
    <col min="1" max="1" width="2.57421875" style="3" customWidth="1"/>
    <col min="2" max="2" width="5.28125" style="11" customWidth="1"/>
    <col min="3" max="3" width="4.7109375" style="11" bestFit="1" customWidth="1"/>
    <col min="4" max="4" width="18.8515625" style="3" customWidth="1"/>
    <col min="5" max="5" width="27.00390625" style="3" customWidth="1"/>
    <col min="6" max="6" width="4.57421875" style="11" bestFit="1" customWidth="1"/>
    <col min="7" max="15" width="6.28125" style="11" customWidth="1"/>
    <col min="16" max="16384" width="9.140625" style="3" customWidth="1"/>
  </cols>
  <sheetData>
    <row r="2" ht="15.75">
      <c r="B2" s="21" t="s">
        <v>387</v>
      </c>
    </row>
    <row r="3" ht="12.75">
      <c r="B3" s="70" t="s">
        <v>388</v>
      </c>
    </row>
    <row r="4" spans="2:15" s="27" customFormat="1" ht="12.75" customHeight="1">
      <c r="B4" s="54" t="s">
        <v>401</v>
      </c>
      <c r="C4" s="24"/>
      <c r="F4" s="24"/>
      <c r="G4" s="24"/>
      <c r="H4" s="24"/>
      <c r="I4" s="24"/>
      <c r="J4" s="24"/>
      <c r="K4" s="24"/>
      <c r="L4" s="24"/>
      <c r="M4" s="24"/>
      <c r="N4" s="24"/>
      <c r="O4" s="24"/>
    </row>
    <row r="5" spans="2:15" s="27" customFormat="1" ht="12.75" customHeight="1">
      <c r="B5" s="24"/>
      <c r="C5" s="24"/>
      <c r="F5" s="24"/>
      <c r="G5" s="65">
        <v>38185</v>
      </c>
      <c r="H5" s="62"/>
      <c r="I5" s="65">
        <v>38186</v>
      </c>
      <c r="J5" s="62"/>
      <c r="K5" s="65">
        <v>38192</v>
      </c>
      <c r="L5" s="53"/>
      <c r="M5" s="67">
        <v>38193</v>
      </c>
      <c r="N5" s="62"/>
      <c r="O5" s="24"/>
    </row>
    <row r="6" spans="2:15" s="27" customFormat="1" ht="11.25">
      <c r="B6" s="41"/>
      <c r="C6" s="41" t="s">
        <v>390</v>
      </c>
      <c r="D6" s="41" t="s">
        <v>353</v>
      </c>
      <c r="E6" s="41" t="s">
        <v>389</v>
      </c>
      <c r="F6" s="41"/>
      <c r="G6" s="41" t="s">
        <v>291</v>
      </c>
      <c r="H6" s="41" t="s">
        <v>292</v>
      </c>
      <c r="I6" s="41" t="s">
        <v>293</v>
      </c>
      <c r="J6" s="41" t="s">
        <v>302</v>
      </c>
      <c r="K6" s="41" t="s">
        <v>355</v>
      </c>
      <c r="L6" s="50" t="s">
        <v>391</v>
      </c>
      <c r="M6" s="50" t="s">
        <v>392</v>
      </c>
      <c r="N6" s="50" t="s">
        <v>394</v>
      </c>
      <c r="O6" s="41" t="s">
        <v>294</v>
      </c>
    </row>
    <row r="7" spans="2:15" s="27" customFormat="1" ht="11.25">
      <c r="B7" s="56">
        <v>1</v>
      </c>
      <c r="C7" s="40">
        <v>221</v>
      </c>
      <c r="D7" s="63" t="s">
        <v>367</v>
      </c>
      <c r="E7" s="63" t="s">
        <v>368</v>
      </c>
      <c r="F7" s="58" t="s">
        <v>313</v>
      </c>
      <c r="G7" s="58">
        <v>2</v>
      </c>
      <c r="H7" s="40">
        <v>2</v>
      </c>
      <c r="I7" s="40">
        <v>5</v>
      </c>
      <c r="J7" s="40">
        <v>1</v>
      </c>
      <c r="K7" s="40">
        <v>6</v>
      </c>
      <c r="L7" s="40">
        <v>1</v>
      </c>
      <c r="M7" s="40">
        <v>3</v>
      </c>
      <c r="N7" s="40">
        <v>5</v>
      </c>
      <c r="O7" s="38">
        <v>19</v>
      </c>
    </row>
    <row r="8" spans="2:15" s="27" customFormat="1" ht="11.25">
      <c r="B8" s="56">
        <v>2</v>
      </c>
      <c r="C8" s="40">
        <v>231</v>
      </c>
      <c r="D8" s="63" t="s">
        <v>395</v>
      </c>
      <c r="E8" s="63" t="s">
        <v>399</v>
      </c>
      <c r="F8" s="58" t="s">
        <v>313</v>
      </c>
      <c r="G8" s="58">
        <v>5</v>
      </c>
      <c r="H8" s="40">
        <v>1</v>
      </c>
      <c r="I8" s="40">
        <v>1</v>
      </c>
      <c r="J8" s="40">
        <v>3</v>
      </c>
      <c r="K8" s="40">
        <v>2</v>
      </c>
      <c r="L8" s="40">
        <v>3</v>
      </c>
      <c r="M8" s="40">
        <v>4</v>
      </c>
      <c r="N8" s="40">
        <v>6</v>
      </c>
      <c r="O8" s="40">
        <v>19</v>
      </c>
    </row>
    <row r="9" spans="2:15" s="27" customFormat="1" ht="11.25">
      <c r="B9" s="56">
        <v>3</v>
      </c>
      <c r="C9" s="40">
        <v>182</v>
      </c>
      <c r="D9" s="63" t="s">
        <v>373</v>
      </c>
      <c r="E9" s="63"/>
      <c r="F9" s="58" t="s">
        <v>313</v>
      </c>
      <c r="G9" s="58">
        <v>4</v>
      </c>
      <c r="H9" s="40">
        <v>5</v>
      </c>
      <c r="I9" s="40">
        <v>2</v>
      </c>
      <c r="J9" s="40">
        <v>4</v>
      </c>
      <c r="K9" s="40">
        <v>9</v>
      </c>
      <c r="L9" s="40">
        <v>6</v>
      </c>
      <c r="M9" s="40">
        <v>1</v>
      </c>
      <c r="N9" s="40">
        <v>4</v>
      </c>
      <c r="O9" s="40">
        <v>26</v>
      </c>
    </row>
    <row r="10" spans="2:15" s="27" customFormat="1" ht="11.25">
      <c r="B10" s="56">
        <v>4</v>
      </c>
      <c r="C10" s="40">
        <v>49</v>
      </c>
      <c r="D10" s="63" t="s">
        <v>374</v>
      </c>
      <c r="E10" s="63" t="s">
        <v>375</v>
      </c>
      <c r="F10" s="58" t="s">
        <v>313</v>
      </c>
      <c r="G10" s="58">
        <v>8</v>
      </c>
      <c r="H10" s="40">
        <v>4</v>
      </c>
      <c r="I10" s="40">
        <v>7</v>
      </c>
      <c r="J10" s="40">
        <v>5</v>
      </c>
      <c r="K10" s="40">
        <v>1</v>
      </c>
      <c r="L10" s="40">
        <v>5</v>
      </c>
      <c r="M10" s="40">
        <v>2</v>
      </c>
      <c r="N10" s="40">
        <v>3</v>
      </c>
      <c r="O10" s="40">
        <v>27</v>
      </c>
    </row>
    <row r="11" spans="2:15" s="27" customFormat="1" ht="11.25">
      <c r="B11" s="56">
        <v>5</v>
      </c>
      <c r="C11" s="40">
        <v>25</v>
      </c>
      <c r="D11" s="63" t="s">
        <v>371</v>
      </c>
      <c r="E11" s="63" t="s">
        <v>372</v>
      </c>
      <c r="F11" s="58" t="s">
        <v>313</v>
      </c>
      <c r="G11" s="58">
        <v>1</v>
      </c>
      <c r="H11" s="40">
        <v>6</v>
      </c>
      <c r="I11" s="40">
        <v>6</v>
      </c>
      <c r="J11" s="40">
        <v>6</v>
      </c>
      <c r="K11" s="40">
        <v>4</v>
      </c>
      <c r="L11" s="40">
        <v>4</v>
      </c>
      <c r="M11" s="40">
        <v>6</v>
      </c>
      <c r="N11" s="40">
        <v>1</v>
      </c>
      <c r="O11" s="40">
        <v>28</v>
      </c>
    </row>
    <row r="12" spans="2:15" s="27" customFormat="1" ht="11.25">
      <c r="B12" s="56">
        <v>6</v>
      </c>
      <c r="C12" s="40">
        <v>106</v>
      </c>
      <c r="D12" s="63" t="s">
        <v>369</v>
      </c>
      <c r="E12" s="63" t="s">
        <v>370</v>
      </c>
      <c r="F12" s="58" t="s">
        <v>313</v>
      </c>
      <c r="G12" s="58">
        <v>3</v>
      </c>
      <c r="H12" s="40">
        <v>3</v>
      </c>
      <c r="I12" s="40">
        <v>3</v>
      </c>
      <c r="J12" s="40">
        <v>2</v>
      </c>
      <c r="K12" s="40">
        <v>7</v>
      </c>
      <c r="L12" s="40">
        <v>2</v>
      </c>
      <c r="M12" s="40">
        <v>8</v>
      </c>
      <c r="N12" s="40">
        <v>10</v>
      </c>
      <c r="O12" s="40">
        <v>28</v>
      </c>
    </row>
    <row r="13" spans="2:15" s="27" customFormat="1" ht="11.25">
      <c r="B13" s="56">
        <v>7</v>
      </c>
      <c r="C13" s="40">
        <v>117</v>
      </c>
      <c r="D13" s="63" t="s">
        <v>376</v>
      </c>
      <c r="E13" s="63" t="s">
        <v>377</v>
      </c>
      <c r="F13" s="58" t="s">
        <v>313</v>
      </c>
      <c r="G13" s="58">
        <v>6</v>
      </c>
      <c r="H13" s="40">
        <v>7</v>
      </c>
      <c r="I13" s="40">
        <v>4</v>
      </c>
      <c r="J13" s="40" t="s">
        <v>290</v>
      </c>
      <c r="K13" s="40">
        <v>3</v>
      </c>
      <c r="L13" s="40">
        <v>7</v>
      </c>
      <c r="M13" s="40">
        <v>5</v>
      </c>
      <c r="N13" s="40">
        <v>2</v>
      </c>
      <c r="O13" s="40">
        <v>34</v>
      </c>
    </row>
    <row r="14" spans="2:15" s="27" customFormat="1" ht="11.25">
      <c r="B14" s="56">
        <v>8</v>
      </c>
      <c r="C14" s="40">
        <v>70</v>
      </c>
      <c r="D14" s="63" t="s">
        <v>396</v>
      </c>
      <c r="E14" s="63" t="s">
        <v>397</v>
      </c>
      <c r="F14" s="58" t="s">
        <v>313</v>
      </c>
      <c r="G14" s="58">
        <v>7</v>
      </c>
      <c r="H14" s="40">
        <v>8</v>
      </c>
      <c r="I14" s="40">
        <v>13</v>
      </c>
      <c r="J14" s="40">
        <v>9</v>
      </c>
      <c r="K14" s="40">
        <v>5</v>
      </c>
      <c r="L14" s="40">
        <v>10</v>
      </c>
      <c r="M14" s="40">
        <v>10</v>
      </c>
      <c r="N14" s="40">
        <v>11</v>
      </c>
      <c r="O14" s="40">
        <v>60</v>
      </c>
    </row>
    <row r="15" spans="2:15" s="27" customFormat="1" ht="11.25">
      <c r="B15" s="56">
        <v>9</v>
      </c>
      <c r="C15" s="40">
        <v>176</v>
      </c>
      <c r="D15" s="63" t="s">
        <v>403</v>
      </c>
      <c r="E15" s="63" t="s">
        <v>400</v>
      </c>
      <c r="F15" s="58" t="s">
        <v>313</v>
      </c>
      <c r="G15" s="58">
        <v>10</v>
      </c>
      <c r="H15" s="40">
        <v>9</v>
      </c>
      <c r="I15" s="40">
        <v>9</v>
      </c>
      <c r="J15" s="40">
        <v>10</v>
      </c>
      <c r="K15" s="40">
        <v>11</v>
      </c>
      <c r="L15" s="40">
        <v>8</v>
      </c>
      <c r="M15" s="40">
        <v>7</v>
      </c>
      <c r="N15" s="40">
        <v>7</v>
      </c>
      <c r="O15" s="40">
        <v>60</v>
      </c>
    </row>
    <row r="16" spans="2:15" s="27" customFormat="1" ht="11.25">
      <c r="B16" s="56">
        <v>10</v>
      </c>
      <c r="C16" s="40">
        <v>142</v>
      </c>
      <c r="D16" s="63" t="s">
        <v>379</v>
      </c>
      <c r="E16" s="63"/>
      <c r="F16" s="58" t="s">
        <v>313</v>
      </c>
      <c r="G16" s="58">
        <v>13</v>
      </c>
      <c r="H16" s="40">
        <v>10</v>
      </c>
      <c r="I16" s="40">
        <v>10</v>
      </c>
      <c r="J16" s="40">
        <v>7</v>
      </c>
      <c r="K16" s="40">
        <v>8</v>
      </c>
      <c r="L16" s="40">
        <v>9</v>
      </c>
      <c r="M16" s="40">
        <v>12</v>
      </c>
      <c r="N16" s="40">
        <v>12</v>
      </c>
      <c r="O16" s="40">
        <v>68</v>
      </c>
    </row>
    <row r="17" spans="2:15" s="27" customFormat="1" ht="11.25">
      <c r="B17" s="56">
        <v>11</v>
      </c>
      <c r="C17" s="40">
        <v>197</v>
      </c>
      <c r="D17" s="63" t="s">
        <v>378</v>
      </c>
      <c r="E17" s="63"/>
      <c r="F17" s="58" t="s">
        <v>313</v>
      </c>
      <c r="G17" s="58">
        <v>11</v>
      </c>
      <c r="H17" s="40">
        <v>11</v>
      </c>
      <c r="I17" s="40">
        <v>15</v>
      </c>
      <c r="J17" s="40">
        <v>12</v>
      </c>
      <c r="K17" s="40">
        <v>13</v>
      </c>
      <c r="L17" s="40">
        <v>11</v>
      </c>
      <c r="M17" s="40">
        <v>9</v>
      </c>
      <c r="N17" s="40">
        <v>8</v>
      </c>
      <c r="O17" s="40">
        <v>75</v>
      </c>
    </row>
    <row r="18" spans="2:15" s="27" customFormat="1" ht="11.25">
      <c r="B18" s="56">
        <v>12</v>
      </c>
      <c r="C18" s="40">
        <v>183</v>
      </c>
      <c r="D18" s="63" t="s">
        <v>380</v>
      </c>
      <c r="E18" s="63" t="s">
        <v>381</v>
      </c>
      <c r="F18" s="58" t="s">
        <v>313</v>
      </c>
      <c r="G18" s="58">
        <v>12</v>
      </c>
      <c r="H18" s="40">
        <v>12</v>
      </c>
      <c r="I18" s="40">
        <v>8</v>
      </c>
      <c r="J18" s="40">
        <v>13</v>
      </c>
      <c r="K18" s="40">
        <v>14</v>
      </c>
      <c r="L18" s="40">
        <v>13</v>
      </c>
      <c r="M18" s="40">
        <v>13</v>
      </c>
      <c r="N18" s="40">
        <v>13</v>
      </c>
      <c r="O18" s="40">
        <v>84</v>
      </c>
    </row>
    <row r="19" spans="2:15" s="27" customFormat="1" ht="11.25">
      <c r="B19" s="56">
        <v>13</v>
      </c>
      <c r="C19" s="40">
        <v>38</v>
      </c>
      <c r="D19" s="39" t="s">
        <v>404</v>
      </c>
      <c r="E19" s="63" t="s">
        <v>384</v>
      </c>
      <c r="F19" s="58" t="s">
        <v>313</v>
      </c>
      <c r="G19" s="58">
        <v>15</v>
      </c>
      <c r="H19" s="40">
        <v>15</v>
      </c>
      <c r="I19" s="40">
        <v>17</v>
      </c>
      <c r="J19" s="40">
        <v>16</v>
      </c>
      <c r="K19" s="40">
        <v>10</v>
      </c>
      <c r="L19" s="40">
        <v>12</v>
      </c>
      <c r="M19" s="40">
        <v>11</v>
      </c>
      <c r="N19" s="40">
        <v>9</v>
      </c>
      <c r="O19" s="40">
        <v>88</v>
      </c>
    </row>
    <row r="20" spans="2:15" s="27" customFormat="1" ht="11.25">
      <c r="B20" s="56">
        <v>14</v>
      </c>
      <c r="C20" s="40">
        <v>41</v>
      </c>
      <c r="D20" s="63" t="s">
        <v>398</v>
      </c>
      <c r="E20" s="63"/>
      <c r="F20" s="58" t="s">
        <v>313</v>
      </c>
      <c r="G20" s="58">
        <v>9</v>
      </c>
      <c r="H20" s="40">
        <v>13</v>
      </c>
      <c r="I20" s="40">
        <v>11</v>
      </c>
      <c r="J20" s="40">
        <v>14</v>
      </c>
      <c r="K20" s="40">
        <v>12</v>
      </c>
      <c r="L20" s="40" t="s">
        <v>361</v>
      </c>
      <c r="M20" s="40" t="s">
        <v>361</v>
      </c>
      <c r="N20" s="40" t="s">
        <v>361</v>
      </c>
      <c r="O20" s="40">
        <v>97</v>
      </c>
    </row>
    <row r="21" spans="2:15" s="27" customFormat="1" ht="11.25">
      <c r="B21" s="56">
        <v>15</v>
      </c>
      <c r="C21" s="40">
        <v>16</v>
      </c>
      <c r="D21" s="63" t="s">
        <v>382</v>
      </c>
      <c r="E21" s="63" t="s">
        <v>383</v>
      </c>
      <c r="F21" s="58" t="s">
        <v>313</v>
      </c>
      <c r="G21" s="58">
        <v>14</v>
      </c>
      <c r="H21" s="40">
        <v>14</v>
      </c>
      <c r="I21" s="40">
        <v>16</v>
      </c>
      <c r="J21" s="40">
        <v>15</v>
      </c>
      <c r="K21" s="40" t="s">
        <v>361</v>
      </c>
      <c r="L21" s="40" t="s">
        <v>361</v>
      </c>
      <c r="M21" s="40" t="s">
        <v>361</v>
      </c>
      <c r="N21" s="40" t="s">
        <v>361</v>
      </c>
      <c r="O21" s="40">
        <v>116</v>
      </c>
    </row>
    <row r="22" spans="2:15" ht="12.75">
      <c r="B22" s="56">
        <v>16</v>
      </c>
      <c r="C22" s="40">
        <v>26</v>
      </c>
      <c r="D22" s="63" t="s">
        <v>385</v>
      </c>
      <c r="E22" s="63"/>
      <c r="F22" s="58" t="s">
        <v>313</v>
      </c>
      <c r="G22" s="58" t="s">
        <v>361</v>
      </c>
      <c r="H22" s="40" t="s">
        <v>361</v>
      </c>
      <c r="I22" s="40">
        <v>14</v>
      </c>
      <c r="J22" s="40">
        <v>8</v>
      </c>
      <c r="K22" s="40" t="s">
        <v>361</v>
      </c>
      <c r="L22" s="40" t="s">
        <v>361</v>
      </c>
      <c r="M22" s="40" t="s">
        <v>361</v>
      </c>
      <c r="N22" s="40" t="s">
        <v>361</v>
      </c>
      <c r="O22" s="40">
        <v>117</v>
      </c>
    </row>
    <row r="23" spans="2:15" ht="12.75">
      <c r="B23" s="57">
        <v>17</v>
      </c>
      <c r="C23" s="50">
        <v>54</v>
      </c>
      <c r="D23" s="64" t="s">
        <v>386</v>
      </c>
      <c r="E23" s="64"/>
      <c r="F23" s="59" t="s">
        <v>313</v>
      </c>
      <c r="G23" s="59" t="s">
        <v>361</v>
      </c>
      <c r="H23" s="50" t="s">
        <v>361</v>
      </c>
      <c r="I23" s="50">
        <v>12</v>
      </c>
      <c r="J23" s="50">
        <v>11</v>
      </c>
      <c r="K23" s="50" t="s">
        <v>361</v>
      </c>
      <c r="L23" s="50" t="s">
        <v>361</v>
      </c>
      <c r="M23" s="50" t="s">
        <v>361</v>
      </c>
      <c r="N23" s="50" t="s">
        <v>361</v>
      </c>
      <c r="O23" s="50">
        <v>118</v>
      </c>
    </row>
    <row r="25" ht="12.75">
      <c r="B25" s="22" t="s">
        <v>424</v>
      </c>
    </row>
    <row r="26" ht="12.75">
      <c r="B26" s="45" t="s">
        <v>423</v>
      </c>
    </row>
  </sheetData>
  <sheetProtection/>
  <hyperlinks>
    <hyperlink ref="B26" r:id="rId1" display="http://www.larchmontyc.org/racing/2004-RW-one-design-results-3.html"/>
  </hyperlinks>
  <printOptions horizontalCentered="1" verticalCentered="1"/>
  <pageMargins left="0.75" right="0.75" top="1" bottom="1" header="0.5" footer="0.5"/>
  <pageSetup fitToHeight="1" fitToWidth="1" horizontalDpi="600" verticalDpi="600" orientation="landscape" r:id="rId2"/>
</worksheet>
</file>

<file path=xl/worksheets/sheet43.xml><?xml version="1.0" encoding="utf-8"?>
<worksheet xmlns="http://schemas.openxmlformats.org/spreadsheetml/2006/main" xmlns:r="http://schemas.openxmlformats.org/officeDocument/2006/relationships">
  <sheetPr codeName="Sheet11"/>
  <dimension ref="B2:H19"/>
  <sheetViews>
    <sheetView zoomScalePageLayoutView="0" workbookViewId="0" topLeftCell="A1">
      <selection activeCell="D32" sqref="D32"/>
    </sheetView>
  </sheetViews>
  <sheetFormatPr defaultColWidth="9.140625" defaultRowHeight="12.75"/>
  <cols>
    <col min="1" max="1" width="9.140625" style="3" customWidth="1"/>
    <col min="2" max="2" width="9.140625" style="11" customWidth="1"/>
    <col min="3" max="3" width="39.140625" style="3" bestFit="1" customWidth="1"/>
    <col min="4" max="8" width="8.140625" style="11" customWidth="1"/>
    <col min="9" max="16384" width="9.140625" style="3" customWidth="1"/>
  </cols>
  <sheetData>
    <row r="2" ht="15.75">
      <c r="B2" s="21" t="s">
        <v>425</v>
      </c>
    </row>
    <row r="3" ht="12.75">
      <c r="B3" s="70" t="s">
        <v>421</v>
      </c>
    </row>
    <row r="4" spans="2:8" s="27" customFormat="1" ht="12.75" customHeight="1">
      <c r="B4" s="54" t="s">
        <v>426</v>
      </c>
      <c r="D4" s="24"/>
      <c r="E4" s="24"/>
      <c r="F4" s="24"/>
      <c r="G4" s="24"/>
      <c r="H4" s="24"/>
    </row>
    <row r="5" spans="2:8" s="27" customFormat="1" ht="12.75" customHeight="1">
      <c r="B5" s="24"/>
      <c r="D5" s="24"/>
      <c r="E5" s="24"/>
      <c r="F5" s="24"/>
      <c r="G5" s="24"/>
      <c r="H5" s="24"/>
    </row>
    <row r="6" spans="2:8" s="27" customFormat="1" ht="11.25">
      <c r="B6" s="41"/>
      <c r="C6" s="38" t="s">
        <v>353</v>
      </c>
      <c r="D6" s="41" t="s">
        <v>291</v>
      </c>
      <c r="E6" s="41" t="s">
        <v>292</v>
      </c>
      <c r="F6" s="41" t="s">
        <v>293</v>
      </c>
      <c r="G6" s="41" t="s">
        <v>302</v>
      </c>
      <c r="H6" s="41" t="s">
        <v>294</v>
      </c>
    </row>
    <row r="7" spans="2:8" s="27" customFormat="1" ht="11.25">
      <c r="B7" s="56">
        <v>1</v>
      </c>
      <c r="C7" s="37" t="s">
        <v>318</v>
      </c>
      <c r="D7" s="58">
        <v>6</v>
      </c>
      <c r="E7" s="40">
        <v>2</v>
      </c>
      <c r="F7" s="40">
        <v>1</v>
      </c>
      <c r="G7" s="40">
        <v>1</v>
      </c>
      <c r="H7" s="40">
        <f>SUM(D7:G7)</f>
        <v>10</v>
      </c>
    </row>
    <row r="8" spans="2:8" s="27" customFormat="1" ht="11.25">
      <c r="B8" s="56">
        <v>2</v>
      </c>
      <c r="C8" s="39" t="s">
        <v>305</v>
      </c>
      <c r="D8" s="58">
        <v>1</v>
      </c>
      <c r="E8" s="40">
        <v>3</v>
      </c>
      <c r="F8" s="40">
        <v>2</v>
      </c>
      <c r="G8" s="40">
        <v>6</v>
      </c>
      <c r="H8" s="40">
        <f>SUM(D8:G8)</f>
        <v>12</v>
      </c>
    </row>
    <row r="9" spans="2:8" s="27" customFormat="1" ht="11.25">
      <c r="B9" s="56">
        <v>3</v>
      </c>
      <c r="C9" s="39" t="s">
        <v>364</v>
      </c>
      <c r="D9" s="58">
        <v>3</v>
      </c>
      <c r="E9" s="40">
        <v>5</v>
      </c>
      <c r="F9" s="40">
        <v>3</v>
      </c>
      <c r="G9" s="40">
        <v>4</v>
      </c>
      <c r="H9" s="40">
        <f>SUM(D9:G9)</f>
        <v>15</v>
      </c>
    </row>
    <row r="10" spans="2:8" s="27" customFormat="1" ht="11.25">
      <c r="B10" s="56">
        <v>4</v>
      </c>
      <c r="C10" s="39" t="s">
        <v>317</v>
      </c>
      <c r="D10" s="58">
        <v>5</v>
      </c>
      <c r="E10" s="40">
        <v>1</v>
      </c>
      <c r="F10" s="40">
        <v>4</v>
      </c>
      <c r="G10" s="40" t="s">
        <v>427</v>
      </c>
      <c r="H10" s="40">
        <f>SUM(D10:G10)+12</f>
        <v>22</v>
      </c>
    </row>
    <row r="11" spans="2:8" s="27" customFormat="1" ht="11.25">
      <c r="B11" s="56">
        <v>5</v>
      </c>
      <c r="C11" s="39" t="s">
        <v>402</v>
      </c>
      <c r="D11" s="58">
        <v>2</v>
      </c>
      <c r="E11" s="40">
        <v>7</v>
      </c>
      <c r="F11" s="40">
        <v>8</v>
      </c>
      <c r="G11" s="40">
        <v>5</v>
      </c>
      <c r="H11" s="40">
        <f>SUM(D11:G11)</f>
        <v>22</v>
      </c>
    </row>
    <row r="12" spans="2:8" s="27" customFormat="1" ht="11.25">
      <c r="B12" s="56">
        <v>6</v>
      </c>
      <c r="C12" s="39" t="s">
        <v>304</v>
      </c>
      <c r="D12" s="58">
        <v>4</v>
      </c>
      <c r="E12" s="40">
        <v>4</v>
      </c>
      <c r="F12" s="40">
        <v>7</v>
      </c>
      <c r="G12" s="40">
        <v>7</v>
      </c>
      <c r="H12" s="40">
        <f>SUM(D12:G12)</f>
        <v>22</v>
      </c>
    </row>
    <row r="13" spans="2:8" s="27" customFormat="1" ht="11.25">
      <c r="B13" s="56">
        <v>7</v>
      </c>
      <c r="C13" s="39" t="s">
        <v>320</v>
      </c>
      <c r="D13" s="58" t="s">
        <v>290</v>
      </c>
      <c r="E13" s="40" t="s">
        <v>290</v>
      </c>
      <c r="F13" s="40">
        <v>6</v>
      </c>
      <c r="G13" s="40">
        <v>2</v>
      </c>
      <c r="H13" s="40">
        <f>24+F13+G13</f>
        <v>32</v>
      </c>
    </row>
    <row r="14" spans="2:8" s="27" customFormat="1" ht="11.25">
      <c r="B14" s="56">
        <v>8</v>
      </c>
      <c r="C14" s="39" t="s">
        <v>319</v>
      </c>
      <c r="D14" s="58" t="s">
        <v>290</v>
      </c>
      <c r="E14" s="40" t="s">
        <v>290</v>
      </c>
      <c r="F14" s="40">
        <v>5</v>
      </c>
      <c r="G14" s="40">
        <v>3</v>
      </c>
      <c r="H14" s="40">
        <f>24+F14+G14</f>
        <v>32</v>
      </c>
    </row>
    <row r="15" spans="2:8" s="27" customFormat="1" ht="11.25">
      <c r="B15" s="56">
        <v>9</v>
      </c>
      <c r="C15" s="39" t="s">
        <v>303</v>
      </c>
      <c r="D15" s="58">
        <v>7</v>
      </c>
      <c r="E15" s="40">
        <v>6</v>
      </c>
      <c r="F15" s="40">
        <v>10</v>
      </c>
      <c r="G15" s="40" t="s">
        <v>427</v>
      </c>
      <c r="H15" s="40">
        <f>SUM(D15:G15)+12</f>
        <v>35</v>
      </c>
    </row>
    <row r="16" spans="2:8" s="27" customFormat="1" ht="11.25">
      <c r="B16" s="56">
        <v>10</v>
      </c>
      <c r="C16" s="39" t="s">
        <v>324</v>
      </c>
      <c r="D16" s="58" t="s">
        <v>290</v>
      </c>
      <c r="E16" s="40" t="s">
        <v>290</v>
      </c>
      <c r="F16" s="40">
        <v>9</v>
      </c>
      <c r="G16" s="40">
        <v>9</v>
      </c>
      <c r="H16" s="40">
        <f>24+F16+G16</f>
        <v>42</v>
      </c>
    </row>
    <row r="17" spans="2:8" s="27" customFormat="1" ht="11.25">
      <c r="B17" s="57">
        <v>11</v>
      </c>
      <c r="C17" s="60" t="s">
        <v>321</v>
      </c>
      <c r="D17" s="59" t="s">
        <v>290</v>
      </c>
      <c r="E17" s="50" t="s">
        <v>290</v>
      </c>
      <c r="F17" s="50">
        <v>11</v>
      </c>
      <c r="G17" s="50">
        <v>8</v>
      </c>
      <c r="H17" s="50">
        <f>24+F17+G17</f>
        <v>43</v>
      </c>
    </row>
    <row r="19" ht="12.75">
      <c r="B19" s="54" t="s">
        <v>429</v>
      </c>
    </row>
  </sheetData>
  <sheetProtection/>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codeName="Sheet12"/>
  <dimension ref="B2:I21"/>
  <sheetViews>
    <sheetView zoomScalePageLayoutView="0" workbookViewId="0" topLeftCell="A1">
      <selection activeCell="D32" sqref="D32"/>
    </sheetView>
  </sheetViews>
  <sheetFormatPr defaultColWidth="9.140625" defaultRowHeight="12.75"/>
  <cols>
    <col min="1" max="1" width="3.8515625" style="3" customWidth="1"/>
    <col min="2" max="3" width="9.140625" style="11" customWidth="1"/>
    <col min="4" max="4" width="34.00390625" style="3" customWidth="1"/>
    <col min="5" max="9" width="8.140625" style="11" customWidth="1"/>
    <col min="10" max="16384" width="9.140625" style="3" customWidth="1"/>
  </cols>
  <sheetData>
    <row r="2" spans="2:3" ht="15.75">
      <c r="B2" s="21" t="s">
        <v>420</v>
      </c>
      <c r="C2" s="21"/>
    </row>
    <row r="3" spans="2:3" ht="12.75">
      <c r="B3" s="70" t="s">
        <v>421</v>
      </c>
      <c r="C3" s="70"/>
    </row>
    <row r="4" spans="2:9" s="27" customFormat="1" ht="12.75" customHeight="1">
      <c r="B4" s="54" t="s">
        <v>530</v>
      </c>
      <c r="C4" s="54"/>
      <c r="E4" s="24"/>
      <c r="F4" s="24"/>
      <c r="G4" s="24"/>
      <c r="H4" s="24"/>
      <c r="I4" s="24"/>
    </row>
    <row r="5" spans="2:9" s="27" customFormat="1" ht="12.75" customHeight="1">
      <c r="B5" s="24"/>
      <c r="C5" s="24"/>
      <c r="E5" s="24"/>
      <c r="F5" s="24"/>
      <c r="G5" s="24"/>
      <c r="H5" s="24"/>
      <c r="I5" s="24"/>
    </row>
    <row r="6" spans="2:9" s="27" customFormat="1" ht="11.25">
      <c r="B6" s="41"/>
      <c r="C6" s="41" t="s">
        <v>390</v>
      </c>
      <c r="D6" s="41" t="s">
        <v>353</v>
      </c>
      <c r="E6" s="41" t="s">
        <v>291</v>
      </c>
      <c r="F6" s="41" t="s">
        <v>292</v>
      </c>
      <c r="G6" s="41" t="s">
        <v>293</v>
      </c>
      <c r="H6" s="41" t="s">
        <v>302</v>
      </c>
      <c r="I6" s="41" t="s">
        <v>294</v>
      </c>
    </row>
    <row r="7" spans="2:9" s="27" customFormat="1" ht="11.25">
      <c r="B7" s="56">
        <v>1</v>
      </c>
      <c r="C7" s="56">
        <v>23</v>
      </c>
      <c r="D7" s="37" t="str">
        <f>VLOOKUP(C7,'2005Season'!$C$11:$D$35,2,FALSE)</f>
        <v>Com Crocker/ Kurt Weisenfluh</v>
      </c>
      <c r="E7" s="58">
        <v>1</v>
      </c>
      <c r="F7" s="40">
        <v>4</v>
      </c>
      <c r="G7" s="40">
        <v>2</v>
      </c>
      <c r="H7" s="40">
        <v>1</v>
      </c>
      <c r="I7" s="40">
        <v>8</v>
      </c>
    </row>
    <row r="8" spans="2:9" s="27" customFormat="1" ht="11.25">
      <c r="B8" s="56">
        <v>2</v>
      </c>
      <c r="C8" s="56">
        <v>25</v>
      </c>
      <c r="D8" s="39" t="str">
        <f>VLOOKUP(C8,'2005Season'!$C$11:$D$35,2,FALSE)</f>
        <v>Fred Werblow</v>
      </c>
      <c r="E8" s="58">
        <v>4</v>
      </c>
      <c r="F8" s="40">
        <v>1</v>
      </c>
      <c r="G8" s="40">
        <v>1</v>
      </c>
      <c r="H8" s="40">
        <v>2</v>
      </c>
      <c r="I8" s="40">
        <v>8</v>
      </c>
    </row>
    <row r="9" spans="2:9" s="27" customFormat="1" ht="11.25">
      <c r="B9" s="56">
        <v>3</v>
      </c>
      <c r="C9" s="56">
        <v>176</v>
      </c>
      <c r="D9" s="39" t="str">
        <f>VLOOKUP(C9,'2005Season'!$C$11:$D$35,2,FALSE)</f>
        <v>Greg Takata/Doug Campbell/Andrew Wertheim</v>
      </c>
      <c r="E9" s="58">
        <v>3</v>
      </c>
      <c r="F9" s="40">
        <v>5</v>
      </c>
      <c r="G9" s="40">
        <v>3</v>
      </c>
      <c r="H9" s="40">
        <v>3</v>
      </c>
      <c r="I9" s="40">
        <v>14</v>
      </c>
    </row>
    <row r="10" spans="2:9" s="27" customFormat="1" ht="11.25">
      <c r="B10" s="56">
        <v>5</v>
      </c>
      <c r="C10" s="56">
        <v>70</v>
      </c>
      <c r="D10" s="39" t="str">
        <f>VLOOKUP(C10,'2005Season'!$C$11:$D$35,2,FALSE)</f>
        <v>Roland Schulz/Berenice</v>
      </c>
      <c r="E10" s="58">
        <v>2</v>
      </c>
      <c r="F10" s="40">
        <v>6</v>
      </c>
      <c r="G10" s="40">
        <v>4</v>
      </c>
      <c r="H10" s="40">
        <v>4</v>
      </c>
      <c r="I10" s="40">
        <v>16</v>
      </c>
    </row>
    <row r="11" spans="2:9" s="27" customFormat="1" ht="11.25">
      <c r="B11" s="56">
        <v>4</v>
      </c>
      <c r="C11" s="56">
        <v>117</v>
      </c>
      <c r="D11" s="39" t="str">
        <f>VLOOKUP(C11,'2005Season'!$C$11:$D$35,2,FALSE)</f>
        <v>Michael Katz/Bill Gollner</v>
      </c>
      <c r="E11" s="58">
        <v>10</v>
      </c>
      <c r="F11" s="40">
        <v>7</v>
      </c>
      <c r="G11" s="40">
        <v>9</v>
      </c>
      <c r="H11" s="40">
        <v>7</v>
      </c>
      <c r="I11" s="40">
        <v>33</v>
      </c>
    </row>
    <row r="12" spans="2:9" s="27" customFormat="1" ht="11.25">
      <c r="B12" s="56">
        <v>8</v>
      </c>
      <c r="C12" s="56">
        <v>182</v>
      </c>
      <c r="D12" s="39" t="str">
        <f>VLOOKUP(C12,'2005Season'!$C$11:$D$35,2,FALSE)</f>
        <v>Skip McGuire</v>
      </c>
      <c r="E12" s="58">
        <v>6</v>
      </c>
      <c r="F12" s="40">
        <v>2</v>
      </c>
      <c r="G12" s="40" t="s">
        <v>361</v>
      </c>
      <c r="H12" s="40" t="s">
        <v>361</v>
      </c>
      <c r="I12" s="40">
        <v>34</v>
      </c>
    </row>
    <row r="13" spans="2:9" s="27" customFormat="1" ht="11.25">
      <c r="B13" s="56">
        <v>7</v>
      </c>
      <c r="C13" s="56">
        <v>142</v>
      </c>
      <c r="D13" s="39" t="str">
        <f>VLOOKUP(C13,'2005Season'!$C$11:$D$35,2,FALSE)</f>
        <v>Justin Gibbons</v>
      </c>
      <c r="E13" s="58">
        <v>7</v>
      </c>
      <c r="F13" s="40">
        <v>3</v>
      </c>
      <c r="G13" s="40" t="s">
        <v>361</v>
      </c>
      <c r="H13" s="40" t="s">
        <v>361</v>
      </c>
      <c r="I13" s="40">
        <v>36</v>
      </c>
    </row>
    <row r="14" spans="2:9" s="27" customFormat="1" ht="11.25">
      <c r="B14" s="56">
        <v>6</v>
      </c>
      <c r="C14" s="56">
        <v>197</v>
      </c>
      <c r="D14" s="39" t="str">
        <f>VLOOKUP(C14,'2005Season'!$C$11:$D$35,2,FALSE)</f>
        <v>Thomas O'Brien</v>
      </c>
      <c r="E14" s="58" t="s">
        <v>361</v>
      </c>
      <c r="F14" s="40" t="s">
        <v>361</v>
      </c>
      <c r="G14" s="40">
        <v>5</v>
      </c>
      <c r="H14" s="40">
        <v>5</v>
      </c>
      <c r="I14" s="40">
        <v>36</v>
      </c>
    </row>
    <row r="15" spans="2:9" s="27" customFormat="1" ht="11.25">
      <c r="B15" s="56">
        <v>9</v>
      </c>
      <c r="C15" s="56">
        <v>41</v>
      </c>
      <c r="D15" s="39" t="str">
        <f>VLOOKUP(C15,'2005Season'!$C$11:$D$35,2,FALSE)</f>
        <v>Tim Sawyer</v>
      </c>
      <c r="E15" s="58">
        <v>8</v>
      </c>
      <c r="F15" s="40">
        <v>8</v>
      </c>
      <c r="G15" s="40">
        <v>8</v>
      </c>
      <c r="H15" s="40" t="s">
        <v>361</v>
      </c>
      <c r="I15" s="40">
        <v>37</v>
      </c>
    </row>
    <row r="16" spans="2:9" s="27" customFormat="1" ht="11.25">
      <c r="B16" s="56">
        <v>10</v>
      </c>
      <c r="C16" s="56">
        <v>5</v>
      </c>
      <c r="D16" s="39" t="str">
        <f>VLOOKUP(C16,'2005Season'!$C$11:$D$35,2,FALSE)</f>
        <v>Pierre Albouy</v>
      </c>
      <c r="E16" s="58" t="s">
        <v>361</v>
      </c>
      <c r="F16" s="40" t="s">
        <v>361</v>
      </c>
      <c r="G16" s="40">
        <v>6</v>
      </c>
      <c r="H16" s="40">
        <v>6</v>
      </c>
      <c r="I16" s="40">
        <v>38</v>
      </c>
    </row>
    <row r="17" spans="2:9" s="27" customFormat="1" ht="11.25">
      <c r="B17" s="56">
        <v>11</v>
      </c>
      <c r="C17" s="56">
        <v>38</v>
      </c>
      <c r="D17" s="39" t="str">
        <f>VLOOKUP(C17,'2005Season'!$C$11:$D$35,2,FALSE)</f>
        <v>Jean Pierre Jabart/Alain Concher</v>
      </c>
      <c r="E17" s="58">
        <v>9</v>
      </c>
      <c r="F17" s="40" t="s">
        <v>299</v>
      </c>
      <c r="G17" s="40">
        <v>7</v>
      </c>
      <c r="H17" s="40" t="s">
        <v>361</v>
      </c>
      <c r="I17" s="40">
        <v>42</v>
      </c>
    </row>
    <row r="18" spans="2:9" s="27" customFormat="1" ht="11.25">
      <c r="B18" s="57">
        <v>12</v>
      </c>
      <c r="C18" s="57">
        <v>106</v>
      </c>
      <c r="D18" s="60" t="str">
        <f>VLOOKUP(C18,'2005Season'!$C$11:$D$35,2,FALSE)</f>
        <v>Dailey/Monte-Sano</v>
      </c>
      <c r="E18" s="59">
        <v>5</v>
      </c>
      <c r="F18" s="50" t="s">
        <v>299</v>
      </c>
      <c r="G18" s="50" t="s">
        <v>361</v>
      </c>
      <c r="H18" s="50" t="s">
        <v>361</v>
      </c>
      <c r="I18" s="50">
        <v>44</v>
      </c>
    </row>
    <row r="19" spans="2:9" s="27" customFormat="1" ht="11.25">
      <c r="B19" s="24"/>
      <c r="C19" s="24"/>
      <c r="E19" s="24"/>
      <c r="F19" s="24"/>
      <c r="G19" s="24"/>
      <c r="H19" s="24"/>
      <c r="I19" s="24"/>
    </row>
    <row r="20" spans="2:9" s="27" customFormat="1" ht="11.25">
      <c r="B20" s="55"/>
      <c r="C20" s="55"/>
      <c r="E20" s="24"/>
      <c r="F20" s="24"/>
      <c r="G20" s="24"/>
      <c r="H20" s="24"/>
      <c r="I20" s="24"/>
    </row>
    <row r="21" spans="2:9" s="27" customFormat="1" ht="11.25">
      <c r="B21" s="24"/>
      <c r="C21" s="24"/>
      <c r="E21" s="24"/>
      <c r="F21" s="24"/>
      <c r="G21" s="24"/>
      <c r="H21" s="24"/>
      <c r="I21" s="24"/>
    </row>
  </sheetData>
  <sheetProtection/>
  <printOptions/>
  <pageMargins left="0.75" right="0.75" top="1" bottom="1"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codeName="Sheet17"/>
  <dimension ref="B2:M18"/>
  <sheetViews>
    <sheetView zoomScalePageLayoutView="0" workbookViewId="0" topLeftCell="A1">
      <selection activeCell="D32" sqref="D32"/>
    </sheetView>
  </sheetViews>
  <sheetFormatPr defaultColWidth="9.140625" defaultRowHeight="12.75"/>
  <cols>
    <col min="1" max="1" width="3.7109375" style="3" customWidth="1"/>
    <col min="2" max="3" width="9.140625" style="11" customWidth="1"/>
    <col min="4" max="4" width="33.8515625" style="3" bestFit="1" customWidth="1"/>
    <col min="5" max="7" width="5.8515625" style="11" bestFit="1" customWidth="1"/>
    <col min="8" max="8" width="5.57421875" style="11" customWidth="1"/>
    <col min="9" max="9" width="5.8515625" style="11" customWidth="1"/>
    <col min="10" max="10" width="5.57421875" style="11" customWidth="1"/>
    <col min="11" max="11" width="5.8515625" style="11" customWidth="1"/>
    <col min="12" max="12" width="4.28125" style="11" bestFit="1" customWidth="1"/>
    <col min="13" max="13" width="3.28125" style="3" bestFit="1" customWidth="1"/>
    <col min="14" max="16384" width="9.140625" style="3" customWidth="1"/>
  </cols>
  <sheetData>
    <row r="2" spans="2:3" ht="15.75">
      <c r="B2" s="21" t="s">
        <v>433</v>
      </c>
      <c r="C2" s="21"/>
    </row>
    <row r="3" spans="2:3" ht="12.75">
      <c r="B3" s="70" t="s">
        <v>421</v>
      </c>
      <c r="C3" s="70"/>
    </row>
    <row r="4" spans="2:12" s="27" customFormat="1" ht="12.75" customHeight="1">
      <c r="B4" s="54" t="s">
        <v>547</v>
      </c>
      <c r="C4" s="54"/>
      <c r="E4" s="24"/>
      <c r="F4" s="24"/>
      <c r="G4" s="24"/>
      <c r="H4" s="24"/>
      <c r="I4" s="24"/>
      <c r="J4" s="24"/>
      <c r="K4" s="24"/>
      <c r="L4" s="24"/>
    </row>
    <row r="5" spans="2:12" s="27" customFormat="1" ht="12.75" customHeight="1">
      <c r="B5" s="54" t="s">
        <v>350</v>
      </c>
      <c r="C5" s="54"/>
      <c r="E5" s="24"/>
      <c r="F5" s="24"/>
      <c r="G5" s="24"/>
      <c r="H5" s="24"/>
      <c r="I5" s="24"/>
      <c r="J5" s="24"/>
      <c r="K5" s="24"/>
      <c r="L5" s="24"/>
    </row>
    <row r="6" spans="2:12" s="27" customFormat="1" ht="12.75" customHeight="1">
      <c r="B6" s="24"/>
      <c r="C6" s="24"/>
      <c r="E6" s="24"/>
      <c r="F6" s="24"/>
      <c r="G6" s="24"/>
      <c r="H6" s="24"/>
      <c r="I6" s="24"/>
      <c r="J6" s="24"/>
      <c r="K6" s="24"/>
      <c r="L6" s="24"/>
    </row>
    <row r="7" spans="2:13" s="27" customFormat="1" ht="11.25">
      <c r="B7" s="41"/>
      <c r="C7" s="41"/>
      <c r="D7" s="41" t="s">
        <v>353</v>
      </c>
      <c r="E7" s="41" t="s">
        <v>291</v>
      </c>
      <c r="F7" s="41" t="s">
        <v>292</v>
      </c>
      <c r="G7" s="41" t="s">
        <v>293</v>
      </c>
      <c r="H7" s="41" t="s">
        <v>302</v>
      </c>
      <c r="I7" s="41" t="s">
        <v>355</v>
      </c>
      <c r="J7" s="41" t="s">
        <v>391</v>
      </c>
      <c r="K7" s="41" t="s">
        <v>392</v>
      </c>
      <c r="L7" s="41" t="s">
        <v>294</v>
      </c>
      <c r="M7" s="38" t="s">
        <v>434</v>
      </c>
    </row>
    <row r="8" spans="2:13" s="27" customFormat="1" ht="11.25">
      <c r="B8" s="56">
        <v>1</v>
      </c>
      <c r="C8" s="56">
        <v>23</v>
      </c>
      <c r="D8" s="37" t="str">
        <f>VLOOKUP(C8,'2005Season'!$C$11:$D$35,2,FALSE)</f>
        <v>Com Crocker/ Kurt Weisenfluh</v>
      </c>
      <c r="E8" s="58">
        <v>6</v>
      </c>
      <c r="F8" s="40">
        <v>1</v>
      </c>
      <c r="G8" s="40">
        <v>2</v>
      </c>
      <c r="H8" s="40">
        <v>2</v>
      </c>
      <c r="I8" s="40">
        <v>1</v>
      </c>
      <c r="J8" s="40">
        <v>3</v>
      </c>
      <c r="K8" s="40">
        <v>4</v>
      </c>
      <c r="L8" s="56">
        <f aca="true" t="shared" si="0" ref="L8:L13">SUM(E8:K8)</f>
        <v>19</v>
      </c>
      <c r="M8" s="38">
        <f aca="true" t="shared" si="1" ref="M8:M13">L8-MAX(E8:K8)</f>
        <v>13</v>
      </c>
    </row>
    <row r="9" spans="2:13" s="27" customFormat="1" ht="11.25">
      <c r="B9" s="56">
        <v>2</v>
      </c>
      <c r="C9" s="56">
        <v>25</v>
      </c>
      <c r="D9" s="39" t="str">
        <f>VLOOKUP(C9,'2005Season'!$C$11:$D$35,2,FALSE)</f>
        <v>Fred Werblow</v>
      </c>
      <c r="E9" s="58">
        <v>3</v>
      </c>
      <c r="F9" s="40">
        <v>3</v>
      </c>
      <c r="G9" s="40">
        <v>6</v>
      </c>
      <c r="H9" s="40">
        <v>1</v>
      </c>
      <c r="I9" s="40">
        <v>3</v>
      </c>
      <c r="J9" s="40">
        <v>2</v>
      </c>
      <c r="K9" s="40">
        <v>1</v>
      </c>
      <c r="L9" s="56">
        <f t="shared" si="0"/>
        <v>19</v>
      </c>
      <c r="M9" s="40">
        <f t="shared" si="1"/>
        <v>13</v>
      </c>
    </row>
    <row r="10" spans="2:13" s="27" customFormat="1" ht="11.25">
      <c r="B10" s="56">
        <v>3</v>
      </c>
      <c r="C10" s="56">
        <v>182</v>
      </c>
      <c r="D10" s="39" t="str">
        <f>VLOOKUP(C10,'2005Season'!$C$11:$D$35,2,FALSE)</f>
        <v>Skip McGuire</v>
      </c>
      <c r="E10" s="58">
        <v>1</v>
      </c>
      <c r="F10" s="40">
        <v>2</v>
      </c>
      <c r="G10" s="40">
        <v>3</v>
      </c>
      <c r="H10" s="40">
        <v>3</v>
      </c>
      <c r="I10" s="40">
        <v>2</v>
      </c>
      <c r="J10" s="40">
        <v>4</v>
      </c>
      <c r="K10" s="40">
        <v>2</v>
      </c>
      <c r="L10" s="56">
        <f t="shared" si="0"/>
        <v>17</v>
      </c>
      <c r="M10" s="40">
        <f t="shared" si="1"/>
        <v>13</v>
      </c>
    </row>
    <row r="11" spans="2:13" s="27" customFormat="1" ht="11.25">
      <c r="B11" s="56">
        <v>4</v>
      </c>
      <c r="C11" s="56">
        <v>142</v>
      </c>
      <c r="D11" s="39" t="str">
        <f>VLOOKUP(C11,'2005Season'!$C$11:$D$35,2,FALSE)</f>
        <v>Justin Gibbons</v>
      </c>
      <c r="E11" s="58">
        <v>2</v>
      </c>
      <c r="F11" s="40">
        <v>4</v>
      </c>
      <c r="G11" s="40">
        <v>1</v>
      </c>
      <c r="H11" s="40">
        <v>4</v>
      </c>
      <c r="I11" s="40">
        <v>5</v>
      </c>
      <c r="J11" s="40">
        <v>1</v>
      </c>
      <c r="K11" s="40">
        <v>3</v>
      </c>
      <c r="L11" s="56">
        <f t="shared" si="0"/>
        <v>20</v>
      </c>
      <c r="M11" s="40">
        <f t="shared" si="1"/>
        <v>15</v>
      </c>
    </row>
    <row r="12" spans="2:13" s="27" customFormat="1" ht="11.25">
      <c r="B12" s="56">
        <v>5</v>
      </c>
      <c r="C12" s="56">
        <v>176</v>
      </c>
      <c r="D12" s="39" t="str">
        <f>VLOOKUP(C12,'2005Season'!$C$11:$D$35,2,FALSE)</f>
        <v>Greg Takata/Doug Campbell/Andrew Wertheim</v>
      </c>
      <c r="E12" s="58">
        <v>5</v>
      </c>
      <c r="F12" s="40">
        <v>6</v>
      </c>
      <c r="G12" s="40">
        <v>7</v>
      </c>
      <c r="H12" s="40">
        <v>5</v>
      </c>
      <c r="I12" s="40">
        <v>4</v>
      </c>
      <c r="J12" s="40">
        <v>5</v>
      </c>
      <c r="K12" s="40">
        <v>6</v>
      </c>
      <c r="L12" s="56">
        <f t="shared" si="0"/>
        <v>38</v>
      </c>
      <c r="M12" s="40">
        <f t="shared" si="1"/>
        <v>31</v>
      </c>
    </row>
    <row r="13" spans="2:13" s="27" customFormat="1" ht="11.25">
      <c r="B13" s="56">
        <v>6</v>
      </c>
      <c r="C13" s="56">
        <v>117</v>
      </c>
      <c r="D13" s="39" t="str">
        <f>VLOOKUP(C13,'2005Season'!$C$11:$D$35,2,FALSE)</f>
        <v>Michael Katz/Bill Gollner</v>
      </c>
      <c r="E13" s="58">
        <v>7</v>
      </c>
      <c r="F13" s="40">
        <v>5</v>
      </c>
      <c r="G13" s="40">
        <v>4</v>
      </c>
      <c r="H13" s="40">
        <v>6</v>
      </c>
      <c r="I13" s="40">
        <v>7</v>
      </c>
      <c r="J13" s="40">
        <v>6</v>
      </c>
      <c r="K13" s="40">
        <v>5</v>
      </c>
      <c r="L13" s="56">
        <f t="shared" si="0"/>
        <v>40</v>
      </c>
      <c r="M13" s="40">
        <f t="shared" si="1"/>
        <v>33</v>
      </c>
    </row>
    <row r="14" spans="2:13" s="27" customFormat="1" ht="11.25">
      <c r="B14" s="56">
        <v>7</v>
      </c>
      <c r="C14" s="56">
        <v>183</v>
      </c>
      <c r="D14" s="39" t="str">
        <f>VLOOKUP(C14,'2005Season'!$C$11:$D$35,2,FALSE)</f>
        <v>Ed Yocum/Paul Massey</v>
      </c>
      <c r="E14" s="58">
        <v>4</v>
      </c>
      <c r="F14" s="40">
        <v>7</v>
      </c>
      <c r="G14" s="40">
        <v>5</v>
      </c>
      <c r="H14" s="40">
        <v>7</v>
      </c>
      <c r="I14" s="40">
        <v>6</v>
      </c>
      <c r="J14" s="40">
        <v>8</v>
      </c>
      <c r="K14" s="40" t="s">
        <v>290</v>
      </c>
      <c r="L14" s="56">
        <f>SUM(E14:K14)+10</f>
        <v>47</v>
      </c>
      <c r="M14" s="40">
        <f>L14-MAX(E14:K14)</f>
        <v>39</v>
      </c>
    </row>
    <row r="15" spans="2:13" s="27" customFormat="1" ht="11.25">
      <c r="B15" s="56">
        <v>8</v>
      </c>
      <c r="C15" s="56">
        <v>38</v>
      </c>
      <c r="D15" s="39" t="str">
        <f>VLOOKUP(C15,'2005Season'!$C$11:$D$35,2,FALSE)</f>
        <v>Jean Pierre Jabart/Alain Concher</v>
      </c>
      <c r="E15" s="58" t="s">
        <v>361</v>
      </c>
      <c r="F15" s="40" t="s">
        <v>361</v>
      </c>
      <c r="G15" s="40" t="s">
        <v>361</v>
      </c>
      <c r="H15" s="40" t="s">
        <v>361</v>
      </c>
      <c r="I15" s="40">
        <v>8</v>
      </c>
      <c r="J15" s="40">
        <v>7</v>
      </c>
      <c r="K15" s="40">
        <v>7</v>
      </c>
      <c r="L15" s="56">
        <f>SUM(E15:K15)+40</f>
        <v>62</v>
      </c>
      <c r="M15" s="40">
        <f>L15-10</f>
        <v>52</v>
      </c>
    </row>
    <row r="16" spans="2:13" s="27" customFormat="1" ht="11.25">
      <c r="B16" s="57">
        <v>9</v>
      </c>
      <c r="C16" s="57">
        <v>5</v>
      </c>
      <c r="D16" s="60" t="str">
        <f>VLOOKUP(C16,'2005Season'!$C$11:$D$35,2,FALSE)</f>
        <v>Pierre Albouy</v>
      </c>
      <c r="E16" s="59">
        <v>8</v>
      </c>
      <c r="F16" s="50" t="s">
        <v>299</v>
      </c>
      <c r="G16" s="50" t="s">
        <v>290</v>
      </c>
      <c r="H16" s="50" t="s">
        <v>290</v>
      </c>
      <c r="I16" s="50" t="s">
        <v>361</v>
      </c>
      <c r="J16" s="50" t="s">
        <v>361</v>
      </c>
      <c r="K16" s="50" t="s">
        <v>361</v>
      </c>
      <c r="L16" s="57">
        <f>SUM(E16:K16)+60</f>
        <v>68</v>
      </c>
      <c r="M16" s="50">
        <f>L16-10</f>
        <v>58</v>
      </c>
    </row>
    <row r="18" spans="2:3" ht="12.75">
      <c r="B18" s="54"/>
      <c r="C18" s="54"/>
    </row>
  </sheetData>
  <sheetProtection/>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sheetPr codeName="Sheet18"/>
  <dimension ref="B2:J18"/>
  <sheetViews>
    <sheetView zoomScalePageLayoutView="0" workbookViewId="0" topLeftCell="A1">
      <selection activeCell="D32" sqref="D32"/>
    </sheetView>
  </sheetViews>
  <sheetFormatPr defaultColWidth="9.140625" defaultRowHeight="12.75"/>
  <cols>
    <col min="1" max="1" width="5.421875" style="3" customWidth="1"/>
    <col min="2" max="2" width="9.140625" style="11" customWidth="1"/>
    <col min="3" max="3" width="39.140625" style="3" bestFit="1" customWidth="1"/>
    <col min="4" max="6" width="5.8515625" style="11" bestFit="1" customWidth="1"/>
    <col min="7" max="8" width="5.8515625" style="11" customWidth="1"/>
    <col min="9" max="9" width="4.28125" style="11" bestFit="1" customWidth="1"/>
    <col min="10" max="10" width="3.28125" style="3" bestFit="1" customWidth="1"/>
    <col min="11" max="16384" width="9.140625" style="3" customWidth="1"/>
  </cols>
  <sheetData>
    <row r="2" ht="15.75">
      <c r="B2" s="21" t="s">
        <v>433</v>
      </c>
    </row>
    <row r="3" ht="12.75">
      <c r="B3" s="70" t="s">
        <v>421</v>
      </c>
    </row>
    <row r="4" spans="2:9" s="27" customFormat="1" ht="12.75" customHeight="1">
      <c r="B4" s="54" t="s">
        <v>431</v>
      </c>
      <c r="D4" s="24"/>
      <c r="E4" s="24"/>
      <c r="F4" s="24"/>
      <c r="G4" s="24"/>
      <c r="H4" s="24"/>
      <c r="I4" s="24"/>
    </row>
    <row r="5" spans="2:9" s="27" customFormat="1" ht="12.75" customHeight="1">
      <c r="B5" s="54" t="s">
        <v>350</v>
      </c>
      <c r="D5" s="24"/>
      <c r="E5" s="24"/>
      <c r="F5" s="24"/>
      <c r="G5" s="24"/>
      <c r="H5" s="24"/>
      <c r="I5" s="24"/>
    </row>
    <row r="6" spans="2:9" s="27" customFormat="1" ht="12.75" customHeight="1">
      <c r="B6" s="24"/>
      <c r="D6" s="24"/>
      <c r="E6" s="24"/>
      <c r="F6" s="24"/>
      <c r="G6" s="24"/>
      <c r="H6" s="24"/>
      <c r="I6" s="24"/>
    </row>
    <row r="7" spans="2:10" s="27" customFormat="1" ht="11.25">
      <c r="B7" s="41"/>
      <c r="C7" s="41" t="s">
        <v>353</v>
      </c>
      <c r="D7" s="41" t="s">
        <v>291</v>
      </c>
      <c r="E7" s="41" t="s">
        <v>292</v>
      </c>
      <c r="F7" s="41" t="s">
        <v>293</v>
      </c>
      <c r="G7" s="41" t="s">
        <v>302</v>
      </c>
      <c r="H7" s="41" t="s">
        <v>355</v>
      </c>
      <c r="I7" s="41" t="s">
        <v>294</v>
      </c>
      <c r="J7" s="41" t="s">
        <v>434</v>
      </c>
    </row>
    <row r="8" spans="2:10" s="27" customFormat="1" ht="11.25">
      <c r="B8" s="56">
        <v>1</v>
      </c>
      <c r="C8" s="39" t="s">
        <v>317</v>
      </c>
      <c r="D8" s="58">
        <v>4</v>
      </c>
      <c r="E8" s="40">
        <v>1</v>
      </c>
      <c r="F8" s="40">
        <v>1</v>
      </c>
      <c r="G8" s="40">
        <v>7</v>
      </c>
      <c r="H8" s="40">
        <v>1</v>
      </c>
      <c r="I8" s="40">
        <f aca="true" t="shared" si="0" ref="I8:I14">SUM(D8:H8)</f>
        <v>14</v>
      </c>
      <c r="J8" s="40">
        <f aca="true" t="shared" si="1" ref="J8:J14">I8-MAX(D8:H8)</f>
        <v>7</v>
      </c>
    </row>
    <row r="9" spans="2:10" s="27" customFormat="1" ht="11.25">
      <c r="B9" s="56">
        <v>2</v>
      </c>
      <c r="C9" s="39" t="s">
        <v>305</v>
      </c>
      <c r="D9" s="58">
        <v>1</v>
      </c>
      <c r="E9" s="40">
        <v>3</v>
      </c>
      <c r="F9" s="40">
        <v>4</v>
      </c>
      <c r="G9" s="40">
        <v>1</v>
      </c>
      <c r="H9" s="40">
        <v>3</v>
      </c>
      <c r="I9" s="40">
        <f t="shared" si="0"/>
        <v>12</v>
      </c>
      <c r="J9" s="40">
        <f t="shared" si="1"/>
        <v>8</v>
      </c>
    </row>
    <row r="10" spans="2:10" s="27" customFormat="1" ht="11.25">
      <c r="B10" s="56">
        <v>3</v>
      </c>
      <c r="C10" s="39" t="s">
        <v>319</v>
      </c>
      <c r="D10" s="58">
        <v>2</v>
      </c>
      <c r="E10" s="40">
        <v>2</v>
      </c>
      <c r="F10" s="40">
        <v>5</v>
      </c>
      <c r="G10" s="40">
        <v>2</v>
      </c>
      <c r="H10" s="40">
        <v>2</v>
      </c>
      <c r="I10" s="40">
        <f t="shared" si="0"/>
        <v>13</v>
      </c>
      <c r="J10" s="40">
        <f t="shared" si="1"/>
        <v>8</v>
      </c>
    </row>
    <row r="11" spans="2:10" s="27" customFormat="1" ht="11.25">
      <c r="B11" s="56">
        <v>4</v>
      </c>
      <c r="C11" s="39" t="s">
        <v>402</v>
      </c>
      <c r="D11" s="58">
        <v>3</v>
      </c>
      <c r="E11" s="40">
        <v>4</v>
      </c>
      <c r="F11" s="40">
        <v>2</v>
      </c>
      <c r="G11" s="40">
        <v>4</v>
      </c>
      <c r="H11" s="40">
        <v>5</v>
      </c>
      <c r="I11" s="40">
        <f t="shared" si="0"/>
        <v>18</v>
      </c>
      <c r="J11" s="40">
        <f t="shared" si="1"/>
        <v>13</v>
      </c>
    </row>
    <row r="12" spans="2:10" s="27" customFormat="1" ht="11.25">
      <c r="B12" s="56">
        <v>5</v>
      </c>
      <c r="C12" s="39" t="s">
        <v>322</v>
      </c>
      <c r="D12" s="58">
        <v>7</v>
      </c>
      <c r="E12" s="40">
        <v>6</v>
      </c>
      <c r="F12" s="40">
        <v>6</v>
      </c>
      <c r="G12" s="40">
        <v>3</v>
      </c>
      <c r="H12" s="40">
        <v>4</v>
      </c>
      <c r="I12" s="40">
        <f t="shared" si="0"/>
        <v>26</v>
      </c>
      <c r="J12" s="40">
        <f t="shared" si="1"/>
        <v>19</v>
      </c>
    </row>
    <row r="13" spans="2:10" s="27" customFormat="1" ht="11.25">
      <c r="B13" s="56">
        <v>6</v>
      </c>
      <c r="C13" s="39" t="s">
        <v>303</v>
      </c>
      <c r="D13" s="58">
        <v>5</v>
      </c>
      <c r="E13" s="40">
        <v>5</v>
      </c>
      <c r="F13" s="40">
        <v>3</v>
      </c>
      <c r="G13" s="40">
        <v>6</v>
      </c>
      <c r="H13" s="40">
        <v>7</v>
      </c>
      <c r="I13" s="40">
        <f t="shared" si="0"/>
        <v>26</v>
      </c>
      <c r="J13" s="40">
        <f t="shared" si="1"/>
        <v>19</v>
      </c>
    </row>
    <row r="14" spans="2:10" s="27" customFormat="1" ht="11.25">
      <c r="B14" s="56">
        <v>7</v>
      </c>
      <c r="C14" s="39" t="s">
        <v>304</v>
      </c>
      <c r="D14" s="58">
        <v>6</v>
      </c>
      <c r="E14" s="40">
        <v>7</v>
      </c>
      <c r="F14" s="40">
        <v>8</v>
      </c>
      <c r="G14" s="40">
        <v>8</v>
      </c>
      <c r="H14" s="40">
        <v>8</v>
      </c>
      <c r="I14" s="40">
        <f t="shared" si="0"/>
        <v>37</v>
      </c>
      <c r="J14" s="40">
        <f t="shared" si="1"/>
        <v>29</v>
      </c>
    </row>
    <row r="15" spans="2:10" s="27" customFormat="1" ht="11.25">
      <c r="B15" s="56">
        <v>8</v>
      </c>
      <c r="C15" s="39" t="s">
        <v>432</v>
      </c>
      <c r="D15" s="58" t="s">
        <v>361</v>
      </c>
      <c r="E15" s="40" t="s">
        <v>361</v>
      </c>
      <c r="F15" s="40" t="s">
        <v>361</v>
      </c>
      <c r="G15" s="40">
        <v>5</v>
      </c>
      <c r="H15" s="40">
        <v>6</v>
      </c>
      <c r="I15" s="40">
        <v>41</v>
      </c>
      <c r="J15" s="40">
        <v>31</v>
      </c>
    </row>
    <row r="16" spans="2:10" s="27" customFormat="1" ht="11.25">
      <c r="B16" s="57">
        <v>9</v>
      </c>
      <c r="C16" s="60" t="s">
        <v>323</v>
      </c>
      <c r="D16" s="59" t="s">
        <v>360</v>
      </c>
      <c r="E16" s="50">
        <v>8</v>
      </c>
      <c r="F16" s="50">
        <v>7</v>
      </c>
      <c r="G16" s="50" t="s">
        <v>361</v>
      </c>
      <c r="H16" s="50" t="s">
        <v>361</v>
      </c>
      <c r="I16" s="50">
        <f>SUM(D16:H16)+30</f>
        <v>45</v>
      </c>
      <c r="J16" s="50">
        <f>I16-10</f>
        <v>35</v>
      </c>
    </row>
    <row r="18" ht="12.75">
      <c r="B18" s="54"/>
    </row>
  </sheetData>
  <sheetProtection/>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codeName="Sheet19"/>
  <dimension ref="B2:H57"/>
  <sheetViews>
    <sheetView zoomScalePageLayoutView="0" workbookViewId="0" topLeftCell="A1">
      <selection activeCell="E5" sqref="E5"/>
    </sheetView>
  </sheetViews>
  <sheetFormatPr defaultColWidth="9.140625" defaultRowHeight="12.75"/>
  <cols>
    <col min="1" max="3" width="9.140625" style="27" customWidth="1"/>
    <col min="4" max="4" width="25.7109375" style="27" bestFit="1" customWidth="1"/>
    <col min="5" max="16384" width="9.140625" style="27" customWidth="1"/>
  </cols>
  <sheetData>
    <row r="2" spans="2:3" ht="15.75">
      <c r="B2" s="21" t="s">
        <v>457</v>
      </c>
      <c r="C2" s="3"/>
    </row>
    <row r="3" spans="2:3" ht="12.75">
      <c r="B3" s="70" t="s">
        <v>452</v>
      </c>
      <c r="C3" s="3"/>
    </row>
    <row r="4" ht="11.25">
      <c r="B4" s="97">
        <v>38619</v>
      </c>
    </row>
    <row r="5" ht="11.25">
      <c r="B5" s="54" t="s">
        <v>350</v>
      </c>
    </row>
    <row r="7" spans="2:7" ht="11.25">
      <c r="B7" s="72"/>
      <c r="C7" s="72"/>
      <c r="D7" s="72"/>
      <c r="E7" s="72"/>
      <c r="F7" s="72"/>
      <c r="G7" s="72"/>
    </row>
    <row r="8" spans="2:7" ht="11.25">
      <c r="B8" s="91"/>
      <c r="C8" s="84" t="s">
        <v>451</v>
      </c>
      <c r="D8" s="84" t="s">
        <v>467</v>
      </c>
      <c r="E8" s="84" t="s">
        <v>291</v>
      </c>
      <c r="F8" s="84" t="s">
        <v>292</v>
      </c>
      <c r="G8" s="84" t="s">
        <v>294</v>
      </c>
    </row>
    <row r="9" spans="2:8" ht="11.25">
      <c r="B9" s="38" t="s">
        <v>435</v>
      </c>
      <c r="C9" s="58">
        <v>41</v>
      </c>
      <c r="D9" s="98" t="s">
        <v>644</v>
      </c>
      <c r="E9" s="38">
        <v>3</v>
      </c>
      <c r="F9" s="40">
        <v>1</v>
      </c>
      <c r="G9" s="38">
        <f>E9+F9</f>
        <v>4</v>
      </c>
      <c r="H9" s="166">
        <v>1</v>
      </c>
    </row>
    <row r="10" spans="2:8" ht="11.25">
      <c r="B10" s="40" t="s">
        <v>437</v>
      </c>
      <c r="C10" s="58">
        <v>54</v>
      </c>
      <c r="D10" s="73" t="s">
        <v>414</v>
      </c>
      <c r="E10" s="40">
        <v>1</v>
      </c>
      <c r="F10" s="40">
        <v>3</v>
      </c>
      <c r="G10" s="40">
        <f>E10+F10</f>
        <v>4</v>
      </c>
      <c r="H10" s="166">
        <v>2</v>
      </c>
    </row>
    <row r="11" spans="2:8" ht="11.25">
      <c r="B11" s="40" t="s">
        <v>438</v>
      </c>
      <c r="C11" s="58">
        <v>176</v>
      </c>
      <c r="D11" s="73" t="s">
        <v>645</v>
      </c>
      <c r="E11" s="40">
        <v>2</v>
      </c>
      <c r="F11" s="40">
        <v>2</v>
      </c>
      <c r="G11" s="40">
        <f>E11+F11</f>
        <v>4</v>
      </c>
      <c r="H11" s="166">
        <v>3</v>
      </c>
    </row>
    <row r="12" spans="2:8" ht="11.25">
      <c r="B12" s="40" t="s">
        <v>440</v>
      </c>
      <c r="C12" s="58">
        <v>23</v>
      </c>
      <c r="D12" s="73" t="s">
        <v>642</v>
      </c>
      <c r="E12" s="40">
        <v>4</v>
      </c>
      <c r="F12" s="40">
        <v>4</v>
      </c>
      <c r="G12" s="40">
        <f>E12+F12</f>
        <v>8</v>
      </c>
      <c r="H12" s="166">
        <v>4</v>
      </c>
    </row>
    <row r="13" spans="2:8" ht="11.25">
      <c r="B13" s="50" t="s">
        <v>442</v>
      </c>
      <c r="C13" s="59">
        <v>38</v>
      </c>
      <c r="D13" s="74" t="s">
        <v>643</v>
      </c>
      <c r="E13" s="50" t="s">
        <v>299</v>
      </c>
      <c r="F13" s="50" t="s">
        <v>290</v>
      </c>
      <c r="G13" s="50">
        <v>12</v>
      </c>
      <c r="H13" s="166">
        <v>5</v>
      </c>
    </row>
    <row r="15" spans="2:3" ht="11.25">
      <c r="B15" s="27" t="s">
        <v>741</v>
      </c>
      <c r="C15" s="24">
        <v>25</v>
      </c>
    </row>
    <row r="16" ht="11.25">
      <c r="C16" s="24">
        <v>142</v>
      </c>
    </row>
    <row r="17" ht="12.75">
      <c r="B17" s="75"/>
    </row>
    <row r="18" ht="15.75">
      <c r="B18" s="4" t="s">
        <v>614</v>
      </c>
    </row>
    <row r="20" spans="2:8" ht="33.75" customHeight="1">
      <c r="B20" s="398" t="s">
        <v>616</v>
      </c>
      <c r="C20" s="398"/>
      <c r="D20" s="398"/>
      <c r="E20" s="398"/>
      <c r="F20" s="398"/>
      <c r="G20" s="398"/>
      <c r="H20" s="398"/>
    </row>
    <row r="22" ht="11.25">
      <c r="B22" s="27" t="s">
        <v>617</v>
      </c>
    </row>
    <row r="24" ht="11.25">
      <c r="B24" s="27" t="s">
        <v>618</v>
      </c>
    </row>
    <row r="25" ht="11.25">
      <c r="B25" s="27" t="s">
        <v>619</v>
      </c>
    </row>
    <row r="26" ht="11.25">
      <c r="B26" s="27" t="s">
        <v>646</v>
      </c>
    </row>
    <row r="27" ht="11.25">
      <c r="B27" s="27" t="s">
        <v>620</v>
      </c>
    </row>
    <row r="28" ht="11.25">
      <c r="B28" s="27" t="s">
        <v>621</v>
      </c>
    </row>
    <row r="30" spans="2:8" ht="33.75" customHeight="1">
      <c r="B30" s="398" t="s">
        <v>624</v>
      </c>
      <c r="C30" s="398"/>
      <c r="D30" s="398"/>
      <c r="E30" s="398"/>
      <c r="F30" s="398"/>
      <c r="G30" s="398"/>
      <c r="H30" s="398"/>
    </row>
    <row r="32" spans="2:8" ht="33.75" customHeight="1">
      <c r="B32" s="398" t="s">
        <v>625</v>
      </c>
      <c r="C32" s="398"/>
      <c r="D32" s="398"/>
      <c r="E32" s="398"/>
      <c r="F32" s="398"/>
      <c r="G32" s="398"/>
      <c r="H32" s="398"/>
    </row>
    <row r="34" spans="2:8" ht="33.75" customHeight="1">
      <c r="B34" s="398" t="s">
        <v>626</v>
      </c>
      <c r="C34" s="398"/>
      <c r="D34" s="398"/>
      <c r="E34" s="398"/>
      <c r="F34" s="398"/>
      <c r="G34" s="398"/>
      <c r="H34" s="398"/>
    </row>
    <row r="36" ht="11.25">
      <c r="B36" s="27" t="s">
        <v>627</v>
      </c>
    </row>
    <row r="38" ht="11.25">
      <c r="B38" s="27" t="s">
        <v>628</v>
      </c>
    </row>
    <row r="39" ht="11.25">
      <c r="B39" s="27" t="s">
        <v>629</v>
      </c>
    </row>
    <row r="40" ht="11.25">
      <c r="B40" s="27" t="s">
        <v>630</v>
      </c>
    </row>
    <row r="41" ht="11.25">
      <c r="B41" s="27" t="s">
        <v>631</v>
      </c>
    </row>
    <row r="42" ht="11.25">
      <c r="B42" s="27" t="s">
        <v>632</v>
      </c>
    </row>
    <row r="44" ht="11.25">
      <c r="B44" s="27" t="s">
        <v>633</v>
      </c>
    </row>
    <row r="45" ht="11.25">
      <c r="B45" s="27" t="s">
        <v>634</v>
      </c>
    </row>
    <row r="47" ht="11.25">
      <c r="B47" s="27" t="s">
        <v>635</v>
      </c>
    </row>
    <row r="48" ht="11.25">
      <c r="B48" s="27" t="s">
        <v>636</v>
      </c>
    </row>
    <row r="49" ht="11.25">
      <c r="B49" s="27" t="s">
        <v>637</v>
      </c>
    </row>
    <row r="50" ht="11.25">
      <c r="B50" s="27" t="s">
        <v>638</v>
      </c>
    </row>
    <row r="51" spans="2:8" ht="33.75" customHeight="1">
      <c r="B51" s="398" t="s">
        <v>639</v>
      </c>
      <c r="C51" s="398"/>
      <c r="D51" s="398"/>
      <c r="E51" s="398"/>
      <c r="F51" s="398"/>
      <c r="G51" s="398"/>
      <c r="H51" s="398"/>
    </row>
    <row r="53" ht="11.25">
      <c r="B53" s="27" t="s">
        <v>640</v>
      </c>
    </row>
    <row r="55" ht="11.25">
      <c r="B55" s="27" t="s">
        <v>357</v>
      </c>
    </row>
    <row r="57" ht="11.25">
      <c r="B57" s="27" t="s">
        <v>641</v>
      </c>
    </row>
  </sheetData>
  <sheetProtection/>
  <mergeCells count="5">
    <mergeCell ref="B51:H51"/>
    <mergeCell ref="B20:H20"/>
    <mergeCell ref="B30:H30"/>
    <mergeCell ref="B32:H32"/>
    <mergeCell ref="B34:H34"/>
  </mergeCells>
  <printOptions/>
  <pageMargins left="0.75" right="0.75" top="1" bottom="1" header="0.5" footer="0.5"/>
  <pageSetup horizontalDpi="600" verticalDpi="600" orientation="portrait" r:id="rId1"/>
</worksheet>
</file>

<file path=xl/worksheets/sheet48.xml><?xml version="1.0" encoding="utf-8"?>
<worksheet xmlns="http://schemas.openxmlformats.org/spreadsheetml/2006/main" xmlns:r="http://schemas.openxmlformats.org/officeDocument/2006/relationships">
  <sheetPr codeName="Sheet20"/>
  <dimension ref="B2:G22"/>
  <sheetViews>
    <sheetView zoomScalePageLayoutView="0" workbookViewId="0" topLeftCell="A1">
      <selection activeCell="D32" sqref="D32"/>
    </sheetView>
  </sheetViews>
  <sheetFormatPr defaultColWidth="9.140625" defaultRowHeight="12.75"/>
  <cols>
    <col min="1" max="3" width="9.140625" style="27" customWidth="1"/>
    <col min="4" max="4" width="25.7109375" style="27" bestFit="1" customWidth="1"/>
    <col min="5" max="16384" width="9.140625" style="27" customWidth="1"/>
  </cols>
  <sheetData>
    <row r="2" spans="2:3" ht="15.75">
      <c r="B2" s="21" t="s">
        <v>457</v>
      </c>
      <c r="C2" s="3"/>
    </row>
    <row r="3" spans="2:3" ht="12.75">
      <c r="B3" s="70" t="s">
        <v>452</v>
      </c>
      <c r="C3" s="3"/>
    </row>
    <row r="4" ht="11.25">
      <c r="B4" s="97">
        <v>38256</v>
      </c>
    </row>
    <row r="5" ht="11.25">
      <c r="B5" s="54" t="s">
        <v>350</v>
      </c>
    </row>
    <row r="7" spans="2:7" ht="11.25">
      <c r="B7" s="72"/>
      <c r="C7" s="72"/>
      <c r="D7" s="72"/>
      <c r="E7" s="72"/>
      <c r="F7" s="72"/>
      <c r="G7" s="72"/>
    </row>
    <row r="8" spans="2:7" ht="11.25">
      <c r="B8" s="84"/>
      <c r="C8" s="84" t="s">
        <v>451</v>
      </c>
      <c r="D8" s="84" t="s">
        <v>467</v>
      </c>
      <c r="E8" s="84" t="s">
        <v>291</v>
      </c>
      <c r="F8" s="84" t="s">
        <v>292</v>
      </c>
      <c r="G8" s="84" t="s">
        <v>294</v>
      </c>
    </row>
    <row r="9" spans="2:7" ht="11.25">
      <c r="B9" s="40" t="s">
        <v>435</v>
      </c>
      <c r="C9" s="40">
        <v>49</v>
      </c>
      <c r="D9" s="98" t="s">
        <v>465</v>
      </c>
      <c r="E9" s="38">
        <v>1</v>
      </c>
      <c r="F9" s="40">
        <v>2</v>
      </c>
      <c r="G9" s="38">
        <f aca="true" t="shared" si="0" ref="G9:G18">E9+F9</f>
        <v>3</v>
      </c>
    </row>
    <row r="10" spans="2:7" ht="11.25">
      <c r="B10" s="40" t="s">
        <v>437</v>
      </c>
      <c r="C10" s="40">
        <v>38</v>
      </c>
      <c r="D10" s="73" t="s">
        <v>462</v>
      </c>
      <c r="E10" s="40">
        <v>5</v>
      </c>
      <c r="F10" s="40">
        <v>1</v>
      </c>
      <c r="G10" s="40">
        <f t="shared" si="0"/>
        <v>6</v>
      </c>
    </row>
    <row r="11" spans="2:7" ht="11.25">
      <c r="B11" s="40" t="s">
        <v>438</v>
      </c>
      <c r="C11" s="40">
        <v>41</v>
      </c>
      <c r="D11" s="73" t="s">
        <v>466</v>
      </c>
      <c r="E11" s="40">
        <v>3</v>
      </c>
      <c r="F11" s="40">
        <v>4</v>
      </c>
      <c r="G11" s="40">
        <f t="shared" si="0"/>
        <v>7</v>
      </c>
    </row>
    <row r="12" spans="2:7" ht="11.25">
      <c r="B12" s="40" t="s">
        <v>440</v>
      </c>
      <c r="C12" s="40">
        <v>70</v>
      </c>
      <c r="D12" s="73" t="s">
        <v>464</v>
      </c>
      <c r="E12" s="40">
        <v>2</v>
      </c>
      <c r="F12" s="40">
        <v>7</v>
      </c>
      <c r="G12" s="40">
        <f t="shared" si="0"/>
        <v>9</v>
      </c>
    </row>
    <row r="13" spans="2:7" ht="11.25">
      <c r="B13" s="40" t="s">
        <v>442</v>
      </c>
      <c r="C13" s="40">
        <v>25</v>
      </c>
      <c r="D13" s="73" t="s">
        <v>459</v>
      </c>
      <c r="E13" s="40">
        <v>7</v>
      </c>
      <c r="F13" s="40">
        <v>3</v>
      </c>
      <c r="G13" s="40">
        <f t="shared" si="0"/>
        <v>10</v>
      </c>
    </row>
    <row r="14" spans="2:7" ht="11.25">
      <c r="B14" s="40" t="s">
        <v>443</v>
      </c>
      <c r="C14" s="40">
        <v>197</v>
      </c>
      <c r="D14" s="73" t="s">
        <v>463</v>
      </c>
      <c r="E14" s="40">
        <v>4</v>
      </c>
      <c r="F14" s="40">
        <v>6</v>
      </c>
      <c r="G14" s="40">
        <f t="shared" si="0"/>
        <v>10</v>
      </c>
    </row>
    <row r="15" spans="2:7" ht="11.25">
      <c r="B15" s="40" t="s">
        <v>444</v>
      </c>
      <c r="C15" s="40">
        <v>176</v>
      </c>
      <c r="D15" s="73" t="s">
        <v>468</v>
      </c>
      <c r="E15" s="40">
        <v>6</v>
      </c>
      <c r="F15" s="40">
        <v>5</v>
      </c>
      <c r="G15" s="40">
        <f t="shared" si="0"/>
        <v>11</v>
      </c>
    </row>
    <row r="16" spans="2:7" ht="11.25">
      <c r="B16" s="40" t="s">
        <v>445</v>
      </c>
      <c r="C16" s="40">
        <v>142</v>
      </c>
      <c r="D16" s="73" t="s">
        <v>458</v>
      </c>
      <c r="E16" s="40">
        <v>10</v>
      </c>
      <c r="F16" s="40">
        <v>8</v>
      </c>
      <c r="G16" s="40">
        <f t="shared" si="0"/>
        <v>18</v>
      </c>
    </row>
    <row r="17" spans="2:7" ht="11.25">
      <c r="B17" s="40" t="s">
        <v>446</v>
      </c>
      <c r="C17" s="40">
        <v>54</v>
      </c>
      <c r="D17" s="73" t="s">
        <v>461</v>
      </c>
      <c r="E17" s="40">
        <v>8</v>
      </c>
      <c r="F17" s="40">
        <v>10</v>
      </c>
      <c r="G17" s="40">
        <f t="shared" si="0"/>
        <v>18</v>
      </c>
    </row>
    <row r="18" spans="2:7" ht="11.25">
      <c r="B18" s="50" t="s">
        <v>447</v>
      </c>
      <c r="C18" s="50">
        <v>117</v>
      </c>
      <c r="D18" s="74" t="s">
        <v>460</v>
      </c>
      <c r="E18" s="50">
        <v>9</v>
      </c>
      <c r="F18" s="50">
        <v>9</v>
      </c>
      <c r="G18" s="50">
        <f t="shared" si="0"/>
        <v>18</v>
      </c>
    </row>
    <row r="22" ht="12.75">
      <c r="B22" s="75"/>
    </row>
  </sheetData>
  <sheetProtection/>
  <printOptions/>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sheetPr codeName="Sheet21"/>
  <dimension ref="B2:I24"/>
  <sheetViews>
    <sheetView zoomScalePageLayoutView="0" workbookViewId="0" topLeftCell="A1">
      <selection activeCell="D32" sqref="D32"/>
    </sheetView>
  </sheetViews>
  <sheetFormatPr defaultColWidth="9.140625" defaultRowHeight="12.75"/>
  <cols>
    <col min="1" max="3" width="9.140625" style="27" customWidth="1"/>
    <col min="4" max="4" width="34.28125" style="27" bestFit="1" customWidth="1"/>
    <col min="5" max="5" width="6.8515625" style="27" customWidth="1"/>
    <col min="6" max="16384" width="9.140625" style="27" customWidth="1"/>
  </cols>
  <sheetData>
    <row r="2" spans="2:3" ht="15.75">
      <c r="B2" s="21" t="s">
        <v>453</v>
      </c>
      <c r="C2" s="3"/>
    </row>
    <row r="3" spans="2:3" ht="12.75">
      <c r="B3" s="70" t="s">
        <v>452</v>
      </c>
      <c r="C3" s="3"/>
    </row>
    <row r="4" ht="11.25">
      <c r="B4" s="54" t="s">
        <v>455</v>
      </c>
    </row>
    <row r="5" ht="11.25">
      <c r="B5" s="54" t="s">
        <v>350</v>
      </c>
    </row>
    <row r="7" spans="2:9" ht="11.25">
      <c r="B7" s="72" t="s">
        <v>450</v>
      </c>
      <c r="C7" s="72"/>
      <c r="D7" s="72"/>
      <c r="E7" s="72"/>
      <c r="F7" s="72"/>
      <c r="G7" s="72"/>
      <c r="H7" s="72"/>
      <c r="I7" s="72"/>
    </row>
    <row r="8" spans="2:9" ht="11.25">
      <c r="B8" s="72"/>
      <c r="C8" s="72"/>
      <c r="D8" s="72"/>
      <c r="E8" s="72"/>
      <c r="F8" s="72"/>
      <c r="G8" s="72"/>
      <c r="H8" s="72"/>
      <c r="I8" s="72"/>
    </row>
    <row r="9" spans="2:9" ht="11.25">
      <c r="B9" s="84"/>
      <c r="C9" s="84" t="s">
        <v>451</v>
      </c>
      <c r="D9" s="84" t="s">
        <v>353</v>
      </c>
      <c r="E9" s="84" t="s">
        <v>456</v>
      </c>
      <c r="F9" s="84" t="s">
        <v>291</v>
      </c>
      <c r="G9" s="84" t="s">
        <v>292</v>
      </c>
      <c r="H9" s="84" t="s">
        <v>293</v>
      </c>
      <c r="I9" s="84" t="s">
        <v>294</v>
      </c>
    </row>
    <row r="10" spans="2:9" ht="11.25">
      <c r="B10" s="40" t="s">
        <v>435</v>
      </c>
      <c r="C10" s="40">
        <v>221</v>
      </c>
      <c r="D10" s="73" t="s">
        <v>436</v>
      </c>
      <c r="E10" s="40" t="s">
        <v>313</v>
      </c>
      <c r="F10" s="40">
        <v>1</v>
      </c>
      <c r="G10" s="40">
        <v>3</v>
      </c>
      <c r="H10" s="40">
        <v>1</v>
      </c>
      <c r="I10" s="40">
        <v>5</v>
      </c>
    </row>
    <row r="11" spans="2:9" ht="11.25">
      <c r="B11" s="40" t="s">
        <v>437</v>
      </c>
      <c r="C11" s="40">
        <v>49</v>
      </c>
      <c r="D11" s="73" t="s">
        <v>439</v>
      </c>
      <c r="E11" s="40" t="s">
        <v>313</v>
      </c>
      <c r="F11" s="40">
        <v>3</v>
      </c>
      <c r="G11" s="40">
        <v>1</v>
      </c>
      <c r="H11" s="40">
        <v>2</v>
      </c>
      <c r="I11" s="40">
        <v>6</v>
      </c>
    </row>
    <row r="12" spans="2:9" ht="11.25">
      <c r="B12" s="40" t="s">
        <v>438</v>
      </c>
      <c r="C12" s="40">
        <v>231</v>
      </c>
      <c r="D12" s="73" t="s">
        <v>441</v>
      </c>
      <c r="E12" s="40" t="s">
        <v>313</v>
      </c>
      <c r="F12" s="40">
        <v>4</v>
      </c>
      <c r="G12" s="40">
        <v>2</v>
      </c>
      <c r="H12" s="40">
        <v>3</v>
      </c>
      <c r="I12" s="40">
        <v>9</v>
      </c>
    </row>
    <row r="13" spans="2:9" ht="11.25">
      <c r="B13" s="40" t="s">
        <v>440</v>
      </c>
      <c r="C13" s="40">
        <v>25</v>
      </c>
      <c r="D13" s="73" t="s">
        <v>371</v>
      </c>
      <c r="E13" s="40" t="s">
        <v>313</v>
      </c>
      <c r="F13" s="40">
        <v>5</v>
      </c>
      <c r="G13" s="40">
        <v>4</v>
      </c>
      <c r="H13" s="40">
        <v>4</v>
      </c>
      <c r="I13" s="40">
        <v>13</v>
      </c>
    </row>
    <row r="14" spans="2:9" ht="11.25">
      <c r="B14" s="40" t="s">
        <v>442</v>
      </c>
      <c r="C14" s="40">
        <v>117</v>
      </c>
      <c r="D14" s="73" t="s">
        <v>377</v>
      </c>
      <c r="E14" s="40" t="s">
        <v>313</v>
      </c>
      <c r="F14" s="40">
        <v>9</v>
      </c>
      <c r="G14" s="40">
        <v>5</v>
      </c>
      <c r="H14" s="40">
        <v>5</v>
      </c>
      <c r="I14" s="40">
        <v>19</v>
      </c>
    </row>
    <row r="15" spans="2:9" ht="11.25">
      <c r="B15" s="40" t="s">
        <v>443</v>
      </c>
      <c r="C15" s="40">
        <v>142</v>
      </c>
      <c r="D15" s="73" t="s">
        <v>379</v>
      </c>
      <c r="E15" s="40" t="s">
        <v>313</v>
      </c>
      <c r="F15" s="40">
        <v>10</v>
      </c>
      <c r="G15" s="40">
        <v>6</v>
      </c>
      <c r="H15" s="40">
        <v>6</v>
      </c>
      <c r="I15" s="40">
        <v>22</v>
      </c>
    </row>
    <row r="16" spans="2:9" ht="11.25">
      <c r="B16" s="40" t="s">
        <v>444</v>
      </c>
      <c r="C16" s="40">
        <v>106</v>
      </c>
      <c r="D16" s="73" t="s">
        <v>369</v>
      </c>
      <c r="E16" s="40" t="s">
        <v>313</v>
      </c>
      <c r="F16" s="40">
        <v>2</v>
      </c>
      <c r="G16" s="40" t="s">
        <v>361</v>
      </c>
      <c r="H16" s="40" t="s">
        <v>361</v>
      </c>
      <c r="I16" s="40">
        <v>26</v>
      </c>
    </row>
    <row r="17" spans="2:9" ht="11.25">
      <c r="B17" s="40" t="s">
        <v>445</v>
      </c>
      <c r="C17" s="40">
        <v>176</v>
      </c>
      <c r="D17" s="73" t="s">
        <v>449</v>
      </c>
      <c r="E17" s="40" t="s">
        <v>313</v>
      </c>
      <c r="F17" s="40">
        <v>6</v>
      </c>
      <c r="G17" s="40" t="s">
        <v>361</v>
      </c>
      <c r="H17" s="40" t="s">
        <v>361</v>
      </c>
      <c r="I17" s="40">
        <v>30</v>
      </c>
    </row>
    <row r="18" spans="2:9" ht="11.25">
      <c r="B18" s="40" t="s">
        <v>446</v>
      </c>
      <c r="C18" s="40">
        <v>38</v>
      </c>
      <c r="D18" s="39" t="s">
        <v>404</v>
      </c>
      <c r="E18" s="40" t="s">
        <v>313</v>
      </c>
      <c r="F18" s="40">
        <v>7</v>
      </c>
      <c r="G18" s="40" t="s">
        <v>361</v>
      </c>
      <c r="H18" s="40" t="s">
        <v>361</v>
      </c>
      <c r="I18" s="40">
        <v>31</v>
      </c>
    </row>
    <row r="19" spans="2:9" ht="11.25">
      <c r="B19" s="40" t="s">
        <v>447</v>
      </c>
      <c r="C19" s="40">
        <v>197</v>
      </c>
      <c r="D19" s="73" t="s">
        <v>378</v>
      </c>
      <c r="E19" s="40" t="s">
        <v>313</v>
      </c>
      <c r="F19" s="40">
        <v>8</v>
      </c>
      <c r="G19" s="40" t="s">
        <v>299</v>
      </c>
      <c r="H19" s="40" t="s">
        <v>290</v>
      </c>
      <c r="I19" s="40">
        <v>32</v>
      </c>
    </row>
    <row r="20" spans="2:9" ht="11.25">
      <c r="B20" s="50" t="s">
        <v>448</v>
      </c>
      <c r="C20" s="50">
        <v>16</v>
      </c>
      <c r="D20" s="74" t="s">
        <v>382</v>
      </c>
      <c r="E20" s="50" t="s">
        <v>313</v>
      </c>
      <c r="F20" s="50">
        <v>11</v>
      </c>
      <c r="G20" s="50" t="s">
        <v>361</v>
      </c>
      <c r="H20" s="50" t="s">
        <v>361</v>
      </c>
      <c r="I20" s="50">
        <v>35</v>
      </c>
    </row>
    <row r="24" ht="12.75">
      <c r="B24" s="75" t="s">
        <v>454</v>
      </c>
    </row>
  </sheetData>
  <sheetProtection/>
  <hyperlinks>
    <hyperlink ref="B24" r:id="rId1" display="http://www.larchmontyc.org/racing/2004-Labor-Day-Results-1.htm"/>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codeName="Sheet52"/>
  <dimension ref="A1:N18"/>
  <sheetViews>
    <sheetView zoomScalePageLayoutView="0" workbookViewId="0" topLeftCell="A1">
      <selection activeCell="E22" sqref="E22"/>
    </sheetView>
  </sheetViews>
  <sheetFormatPr defaultColWidth="9.140625" defaultRowHeight="12.75"/>
  <cols>
    <col min="2" max="2" width="9.140625" style="315" customWidth="1"/>
    <col min="4" max="4" width="11.8515625" style="0" customWidth="1"/>
    <col min="5" max="5" width="21.28125" style="0" customWidth="1"/>
    <col min="6" max="6" width="12.421875" style="0" customWidth="1"/>
    <col min="7" max="7" width="9.421875" style="0" customWidth="1"/>
  </cols>
  <sheetData>
    <row r="1" spans="6:8" ht="29.25" customHeight="1">
      <c r="F1" s="392" t="s">
        <v>128</v>
      </c>
      <c r="G1" s="392"/>
      <c r="H1" s="392"/>
    </row>
    <row r="2" spans="6:8" ht="15">
      <c r="F2" s="393" t="s">
        <v>129</v>
      </c>
      <c r="G2" s="393"/>
      <c r="H2" s="393"/>
    </row>
    <row r="3" ht="13.5" thickBot="1">
      <c r="G3" s="315"/>
    </row>
    <row r="4" spans="7:14" ht="13.5" thickBot="1">
      <c r="G4" s="315"/>
      <c r="H4" s="387">
        <v>39333</v>
      </c>
      <c r="I4" s="388"/>
      <c r="J4" s="388"/>
      <c r="K4" s="389"/>
      <c r="L4" s="387">
        <v>39334</v>
      </c>
      <c r="M4" s="390"/>
      <c r="N4" s="391"/>
    </row>
    <row r="5" spans="1:14" ht="13.5" thickBot="1">
      <c r="A5" s="322"/>
      <c r="B5" s="328" t="s">
        <v>787</v>
      </c>
      <c r="C5" s="324"/>
      <c r="D5" s="324"/>
      <c r="E5" s="324"/>
      <c r="F5" s="324"/>
      <c r="G5" s="321"/>
      <c r="H5" s="324"/>
      <c r="I5" s="324"/>
      <c r="J5" s="324"/>
      <c r="K5" s="324"/>
      <c r="L5" s="324"/>
      <c r="M5" s="324"/>
      <c r="N5" s="324"/>
    </row>
    <row r="6" spans="1:14" ht="13.5" thickBot="1">
      <c r="A6" s="322"/>
      <c r="B6" s="321"/>
      <c r="C6" s="325" t="s">
        <v>451</v>
      </c>
      <c r="D6" s="325" t="s">
        <v>550</v>
      </c>
      <c r="E6" s="325" t="s">
        <v>551</v>
      </c>
      <c r="F6" s="325" t="s">
        <v>1083</v>
      </c>
      <c r="G6" s="325" t="s">
        <v>294</v>
      </c>
      <c r="H6" s="325" t="s">
        <v>552</v>
      </c>
      <c r="I6" s="325" t="s">
        <v>553</v>
      </c>
      <c r="J6" s="325" t="s">
        <v>569</v>
      </c>
      <c r="K6" s="325" t="s">
        <v>570</v>
      </c>
      <c r="L6" s="325" t="s">
        <v>613</v>
      </c>
      <c r="M6" s="325" t="s">
        <v>113</v>
      </c>
      <c r="N6" s="325" t="s">
        <v>114</v>
      </c>
    </row>
    <row r="7" spans="1:14" ht="13.5" thickBot="1">
      <c r="A7" s="322"/>
      <c r="B7" s="321">
        <v>1</v>
      </c>
      <c r="C7" s="326">
        <v>206</v>
      </c>
      <c r="D7" s="324"/>
      <c r="E7" s="324" t="s">
        <v>115</v>
      </c>
      <c r="F7" s="324" t="s">
        <v>523</v>
      </c>
      <c r="G7" s="321">
        <v>14</v>
      </c>
      <c r="H7" s="321">
        <v>1</v>
      </c>
      <c r="I7" s="321">
        <v>2</v>
      </c>
      <c r="J7" s="321">
        <v>3</v>
      </c>
      <c r="K7" s="321">
        <v>1</v>
      </c>
      <c r="L7" s="321">
        <v>2</v>
      </c>
      <c r="M7" s="321">
        <v>2</v>
      </c>
      <c r="N7" s="321">
        <v>3</v>
      </c>
    </row>
    <row r="8" spans="1:14" ht="26.25" thickBot="1">
      <c r="A8" s="322"/>
      <c r="B8" s="321">
        <v>2</v>
      </c>
      <c r="C8" s="326">
        <v>25</v>
      </c>
      <c r="D8" s="324" t="s">
        <v>554</v>
      </c>
      <c r="E8" s="324" t="s">
        <v>600</v>
      </c>
      <c r="F8" s="324" t="s">
        <v>594</v>
      </c>
      <c r="G8" s="321">
        <v>20</v>
      </c>
      <c r="H8" s="321">
        <v>4</v>
      </c>
      <c r="I8" s="321">
        <v>1</v>
      </c>
      <c r="J8" s="321">
        <v>4</v>
      </c>
      <c r="K8" s="321">
        <v>8</v>
      </c>
      <c r="L8" s="321">
        <v>1</v>
      </c>
      <c r="M8" s="321">
        <v>1</v>
      </c>
      <c r="N8" s="321">
        <v>1</v>
      </c>
    </row>
    <row r="9" spans="1:14" ht="26.25" thickBot="1">
      <c r="A9" s="322"/>
      <c r="B9" s="321">
        <v>3</v>
      </c>
      <c r="C9" s="326">
        <v>228</v>
      </c>
      <c r="D9" s="324" t="s">
        <v>116</v>
      </c>
      <c r="E9" s="324" t="s">
        <v>117</v>
      </c>
      <c r="F9" s="324" t="s">
        <v>523</v>
      </c>
      <c r="G9" s="321">
        <v>23</v>
      </c>
      <c r="H9" s="321">
        <v>2</v>
      </c>
      <c r="I9" s="321">
        <v>4</v>
      </c>
      <c r="J9" s="321">
        <v>1</v>
      </c>
      <c r="K9" s="321">
        <v>2</v>
      </c>
      <c r="L9" s="321">
        <v>3</v>
      </c>
      <c r="M9" s="321">
        <v>5</v>
      </c>
      <c r="N9" s="321">
        <v>6</v>
      </c>
    </row>
    <row r="10" spans="1:14" ht="26.25" thickBot="1">
      <c r="A10" s="322"/>
      <c r="B10" s="321">
        <v>4</v>
      </c>
      <c r="C10" s="326">
        <v>221</v>
      </c>
      <c r="D10" s="324" t="s">
        <v>559</v>
      </c>
      <c r="E10" s="324" t="s">
        <v>118</v>
      </c>
      <c r="F10" s="324" t="s">
        <v>594</v>
      </c>
      <c r="G10" s="321">
        <v>31</v>
      </c>
      <c r="H10" s="321">
        <v>3</v>
      </c>
      <c r="I10" s="321">
        <v>6</v>
      </c>
      <c r="J10" s="321">
        <v>5</v>
      </c>
      <c r="K10" s="321">
        <v>5</v>
      </c>
      <c r="L10" s="321">
        <v>4</v>
      </c>
      <c r="M10" s="321">
        <v>4</v>
      </c>
      <c r="N10" s="321">
        <v>4</v>
      </c>
    </row>
    <row r="11" spans="1:14" ht="13.5" thickBot="1">
      <c r="A11" s="322"/>
      <c r="B11" s="328">
        <v>5</v>
      </c>
      <c r="C11" s="327">
        <v>176</v>
      </c>
      <c r="D11" s="323" t="s">
        <v>560</v>
      </c>
      <c r="E11" s="323" t="s">
        <v>119</v>
      </c>
      <c r="F11" s="323" t="s">
        <v>594</v>
      </c>
      <c r="G11" s="328">
        <v>37.4</v>
      </c>
      <c r="H11" s="328">
        <v>7</v>
      </c>
      <c r="I11" s="328">
        <v>3</v>
      </c>
      <c r="J11" s="328">
        <v>6</v>
      </c>
      <c r="K11" s="328">
        <v>6</v>
      </c>
      <c r="L11" s="328" t="s">
        <v>120</v>
      </c>
      <c r="M11" s="328">
        <v>3</v>
      </c>
      <c r="N11" s="328">
        <v>2</v>
      </c>
    </row>
    <row r="12" spans="1:14" ht="26.25" thickBot="1">
      <c r="A12" s="322"/>
      <c r="B12" s="321">
        <v>6</v>
      </c>
      <c r="C12" s="326">
        <v>197</v>
      </c>
      <c r="D12" s="324" t="s">
        <v>121</v>
      </c>
      <c r="E12" s="324" t="s">
        <v>122</v>
      </c>
      <c r="F12" s="324" t="s">
        <v>594</v>
      </c>
      <c r="G12" s="321">
        <v>41</v>
      </c>
      <c r="H12" s="321">
        <v>6</v>
      </c>
      <c r="I12" s="321">
        <v>7</v>
      </c>
      <c r="J12" s="321">
        <v>2</v>
      </c>
      <c r="K12" s="321">
        <v>4</v>
      </c>
      <c r="L12" s="321">
        <v>8</v>
      </c>
      <c r="M12" s="321">
        <v>7</v>
      </c>
      <c r="N12" s="321">
        <v>7</v>
      </c>
    </row>
    <row r="13" spans="1:14" ht="26.25" thickBot="1">
      <c r="A13" s="322"/>
      <c r="B13" s="321">
        <v>7</v>
      </c>
      <c r="C13" s="326">
        <v>54</v>
      </c>
      <c r="D13" s="324" t="s">
        <v>123</v>
      </c>
      <c r="E13" s="324" t="s">
        <v>1100</v>
      </c>
      <c r="F13" s="324" t="s">
        <v>594</v>
      </c>
      <c r="G13" s="321">
        <v>42</v>
      </c>
      <c r="H13" s="321">
        <v>9</v>
      </c>
      <c r="I13" s="321">
        <v>5</v>
      </c>
      <c r="J13" s="321">
        <v>7</v>
      </c>
      <c r="K13" s="321">
        <v>3</v>
      </c>
      <c r="L13" s="321">
        <v>7</v>
      </c>
      <c r="M13" s="321">
        <v>6</v>
      </c>
      <c r="N13" s="321">
        <v>5</v>
      </c>
    </row>
    <row r="14" spans="1:14" ht="26.25" thickBot="1">
      <c r="A14" s="322"/>
      <c r="B14" s="321">
        <v>8</v>
      </c>
      <c r="C14" s="326">
        <v>70</v>
      </c>
      <c r="D14" s="324" t="s">
        <v>563</v>
      </c>
      <c r="E14" s="324" t="s">
        <v>508</v>
      </c>
      <c r="F14" s="324" t="s">
        <v>594</v>
      </c>
      <c r="G14" s="321">
        <v>55</v>
      </c>
      <c r="H14" s="321">
        <v>5</v>
      </c>
      <c r="I14" s="321">
        <v>8</v>
      </c>
      <c r="J14" s="321">
        <v>8</v>
      </c>
      <c r="K14" s="321" t="s">
        <v>124</v>
      </c>
      <c r="L14" s="321">
        <v>5</v>
      </c>
      <c r="M14" s="321">
        <v>8</v>
      </c>
      <c r="N14" s="321">
        <v>9</v>
      </c>
    </row>
    <row r="15" spans="1:14" ht="26.25" thickBot="1">
      <c r="A15" s="322"/>
      <c r="B15" s="321">
        <v>9</v>
      </c>
      <c r="C15" s="326">
        <v>117</v>
      </c>
      <c r="D15" s="324" t="s">
        <v>562</v>
      </c>
      <c r="E15" s="324" t="s">
        <v>1090</v>
      </c>
      <c r="F15" s="324" t="s">
        <v>594</v>
      </c>
      <c r="G15" s="321">
        <v>63</v>
      </c>
      <c r="H15" s="321">
        <v>10</v>
      </c>
      <c r="I15" s="321">
        <v>10</v>
      </c>
      <c r="J15" s="321">
        <v>10</v>
      </c>
      <c r="K15" s="321">
        <v>7</v>
      </c>
      <c r="L15" s="321">
        <v>9</v>
      </c>
      <c r="M15" s="321">
        <v>9</v>
      </c>
      <c r="N15" s="321">
        <v>8</v>
      </c>
    </row>
    <row r="16" spans="1:14" ht="26.25" thickBot="1">
      <c r="A16" s="322"/>
      <c r="B16" s="321">
        <v>10</v>
      </c>
      <c r="C16" s="326">
        <v>142</v>
      </c>
      <c r="D16" s="324" t="s">
        <v>125</v>
      </c>
      <c r="E16" s="324" t="s">
        <v>507</v>
      </c>
      <c r="F16" s="324" t="s">
        <v>594</v>
      </c>
      <c r="G16" s="321">
        <v>74</v>
      </c>
      <c r="H16" s="321">
        <v>8</v>
      </c>
      <c r="I16" s="321">
        <v>9</v>
      </c>
      <c r="J16" s="321">
        <v>9</v>
      </c>
      <c r="K16" s="321" t="s">
        <v>124</v>
      </c>
      <c r="L16" s="321" t="s">
        <v>126</v>
      </c>
      <c r="M16" s="321" t="s">
        <v>126</v>
      </c>
      <c r="N16" s="321" t="s">
        <v>126</v>
      </c>
    </row>
    <row r="17" spans="1:14" ht="26.25" thickBot="1">
      <c r="A17" s="322"/>
      <c r="B17" s="321">
        <v>11</v>
      </c>
      <c r="C17" s="326">
        <v>5</v>
      </c>
      <c r="D17" s="324" t="s">
        <v>127</v>
      </c>
      <c r="E17" s="324" t="s">
        <v>512</v>
      </c>
      <c r="F17" s="324" t="s">
        <v>594</v>
      </c>
      <c r="G17" s="321">
        <v>84</v>
      </c>
      <c r="H17" s="321" t="s">
        <v>126</v>
      </c>
      <c r="I17" s="321" t="s">
        <v>126</v>
      </c>
      <c r="J17" s="321" t="s">
        <v>126</v>
      </c>
      <c r="K17" s="321" t="s">
        <v>126</v>
      </c>
      <c r="L17" s="321" t="s">
        <v>126</v>
      </c>
      <c r="M17" s="321" t="s">
        <v>126</v>
      </c>
      <c r="N17" s="321" t="s">
        <v>126</v>
      </c>
    </row>
    <row r="18" ht="12.75">
      <c r="A18" s="329"/>
    </row>
  </sheetData>
  <sheetProtection/>
  <mergeCells count="4">
    <mergeCell ref="H4:K4"/>
    <mergeCell ref="L4:N4"/>
    <mergeCell ref="F1:H1"/>
    <mergeCell ref="F2:H2"/>
  </mergeCells>
  <printOptions/>
  <pageMargins left="0.75" right="0.75" top="1" bottom="1" header="0.5" footer="0.5"/>
  <pageSetup horizontalDpi="600" verticalDpi="600" orientation="landscape" r:id="rId1"/>
</worksheet>
</file>

<file path=xl/worksheets/sheet50.xml><?xml version="1.0" encoding="utf-8"?>
<worksheet xmlns="http://schemas.openxmlformats.org/spreadsheetml/2006/main" xmlns:r="http://schemas.openxmlformats.org/officeDocument/2006/relationships">
  <sheetPr codeName="Sheet24"/>
  <dimension ref="A2:H80"/>
  <sheetViews>
    <sheetView zoomScalePageLayoutView="0" workbookViewId="0" topLeftCell="A1">
      <selection activeCell="D32" sqref="D32"/>
    </sheetView>
  </sheetViews>
  <sheetFormatPr defaultColWidth="9.140625" defaultRowHeight="12.75"/>
  <cols>
    <col min="1" max="3" width="9.140625" style="27" customWidth="1"/>
    <col min="4" max="4" width="24.00390625" style="27" bestFit="1" customWidth="1"/>
    <col min="5" max="5" width="8.8515625" style="24" bestFit="1" customWidth="1"/>
    <col min="6" max="8" width="7.140625" style="27" customWidth="1"/>
    <col min="9" max="16384" width="9.140625" style="27" customWidth="1"/>
  </cols>
  <sheetData>
    <row r="2" spans="2:3" ht="15.75">
      <c r="B2" s="21" t="s">
        <v>473</v>
      </c>
      <c r="C2" s="3"/>
    </row>
    <row r="3" spans="2:3" ht="12.75">
      <c r="B3" s="70" t="s">
        <v>452</v>
      </c>
      <c r="C3" s="3"/>
    </row>
    <row r="4" ht="11.25">
      <c r="B4" s="54" t="s">
        <v>662</v>
      </c>
    </row>
    <row r="5" ht="11.25">
      <c r="B5" s="54" t="s">
        <v>484</v>
      </c>
    </row>
    <row r="7" spans="2:8" ht="11.25">
      <c r="B7" s="72" t="s">
        <v>663</v>
      </c>
      <c r="C7" s="72"/>
      <c r="D7" s="72"/>
      <c r="E7" s="99"/>
      <c r="F7" s="72"/>
      <c r="G7" s="72"/>
      <c r="H7" s="72"/>
    </row>
    <row r="8" spans="2:8" ht="11.25">
      <c r="B8" s="72"/>
      <c r="C8" s="72"/>
      <c r="D8" s="72"/>
      <c r="E8" s="99"/>
      <c r="F8" s="72"/>
      <c r="G8" s="72"/>
      <c r="H8" s="72"/>
    </row>
    <row r="9" spans="2:8" ht="11.25">
      <c r="B9" s="84"/>
      <c r="C9" s="84" t="s">
        <v>451</v>
      </c>
      <c r="D9" s="84" t="s">
        <v>353</v>
      </c>
      <c r="E9" s="84" t="s">
        <v>456</v>
      </c>
      <c r="F9" s="84" t="s">
        <v>291</v>
      </c>
      <c r="G9" s="84" t="s">
        <v>292</v>
      </c>
      <c r="H9" s="84" t="s">
        <v>294</v>
      </c>
    </row>
    <row r="10" spans="2:8" ht="11.25">
      <c r="B10" s="38" t="s">
        <v>435</v>
      </c>
      <c r="C10" s="38">
        <v>239</v>
      </c>
      <c r="D10" s="98" t="s">
        <v>661</v>
      </c>
      <c r="E10" s="38" t="s">
        <v>593</v>
      </c>
      <c r="F10" s="38">
        <v>1</v>
      </c>
      <c r="G10" s="38">
        <v>1</v>
      </c>
      <c r="H10" s="38">
        <f>F10+G10</f>
        <v>2</v>
      </c>
    </row>
    <row r="11" spans="2:8" ht="11.25">
      <c r="B11" s="40" t="s">
        <v>437</v>
      </c>
      <c r="C11" s="40">
        <v>182</v>
      </c>
      <c r="D11" s="73" t="s">
        <v>359</v>
      </c>
      <c r="E11" s="40" t="s">
        <v>313</v>
      </c>
      <c r="F11" s="40">
        <v>3</v>
      </c>
      <c r="G11" s="40">
        <v>2</v>
      </c>
      <c r="H11" s="40">
        <f>F11+G11</f>
        <v>5</v>
      </c>
    </row>
    <row r="12" spans="2:8" ht="11.25">
      <c r="B12" s="40" t="s">
        <v>438</v>
      </c>
      <c r="C12" s="40">
        <v>231</v>
      </c>
      <c r="D12" s="73" t="s">
        <v>419</v>
      </c>
      <c r="E12" s="40" t="s">
        <v>313</v>
      </c>
      <c r="F12" s="40">
        <v>2</v>
      </c>
      <c r="G12" s="40">
        <v>4</v>
      </c>
      <c r="H12" s="40">
        <f>F12+G12</f>
        <v>6</v>
      </c>
    </row>
    <row r="13" spans="2:8" ht="11.25">
      <c r="B13" s="40" t="s">
        <v>440</v>
      </c>
      <c r="C13" s="40">
        <v>41</v>
      </c>
      <c r="D13" s="73" t="s">
        <v>417</v>
      </c>
      <c r="E13" s="40" t="s">
        <v>313</v>
      </c>
      <c r="F13" s="40">
        <v>4</v>
      </c>
      <c r="G13" s="40">
        <v>3</v>
      </c>
      <c r="H13" s="40">
        <f>F13+G13</f>
        <v>7</v>
      </c>
    </row>
    <row r="14" spans="2:8" ht="11.25">
      <c r="B14" s="40" t="s">
        <v>442</v>
      </c>
      <c r="C14" s="40">
        <v>197</v>
      </c>
      <c r="D14" s="73" t="s">
        <v>411</v>
      </c>
      <c r="E14" s="40" t="s">
        <v>313</v>
      </c>
      <c r="F14" s="40">
        <v>6</v>
      </c>
      <c r="G14" s="40">
        <v>5</v>
      </c>
      <c r="H14" s="40">
        <f>F14+G14</f>
        <v>11</v>
      </c>
    </row>
    <row r="15" spans="2:8" ht="11.25">
      <c r="B15" s="50" t="s">
        <v>443</v>
      </c>
      <c r="C15" s="50">
        <v>38</v>
      </c>
      <c r="D15" s="60" t="s">
        <v>404</v>
      </c>
      <c r="E15" s="232" t="s">
        <v>313</v>
      </c>
      <c r="F15" s="50">
        <v>5</v>
      </c>
      <c r="G15" s="50" t="s">
        <v>299</v>
      </c>
      <c r="H15" s="50">
        <f>F15+8</f>
        <v>13</v>
      </c>
    </row>
    <row r="16" spans="2:8" ht="12" customHeight="1">
      <c r="B16" s="66"/>
      <c r="C16" s="66"/>
      <c r="D16" s="66"/>
      <c r="E16" s="66"/>
      <c r="F16" s="66"/>
      <c r="G16" s="66"/>
      <c r="H16" s="66"/>
    </row>
    <row r="19" ht="11.25">
      <c r="A19" s="27" t="s">
        <v>787</v>
      </c>
    </row>
    <row r="20" ht="11.25">
      <c r="A20" s="27" t="s">
        <v>451</v>
      </c>
    </row>
    <row r="21" ht="11.25">
      <c r="A21" s="27" t="s">
        <v>551</v>
      </c>
    </row>
    <row r="22" ht="11.25">
      <c r="A22" s="27" t="s">
        <v>1083</v>
      </c>
    </row>
    <row r="23" ht="11.25">
      <c r="A23" s="27" t="s">
        <v>294</v>
      </c>
    </row>
    <row r="24" ht="11.25">
      <c r="A24" s="27" t="s">
        <v>552</v>
      </c>
    </row>
    <row r="25" ht="11.25">
      <c r="A25" s="27" t="s">
        <v>292</v>
      </c>
    </row>
    <row r="26" ht="11.25">
      <c r="A26" s="27" t="s">
        <v>293</v>
      </c>
    </row>
    <row r="27" ht="11.25">
      <c r="A27" s="27" t="s">
        <v>302</v>
      </c>
    </row>
    <row r="28" ht="11.25">
      <c r="A28" s="27">
        <v>1</v>
      </c>
    </row>
    <row r="29" ht="11.25">
      <c r="A29" s="27">
        <v>23</v>
      </c>
    </row>
    <row r="30" ht="11.25">
      <c r="A30" s="27" t="s">
        <v>1111</v>
      </c>
    </row>
    <row r="31" ht="11.25">
      <c r="A31" s="27" t="s">
        <v>594</v>
      </c>
    </row>
    <row r="32" ht="11.25">
      <c r="A32" s="27">
        <v>11</v>
      </c>
    </row>
    <row r="33" ht="11.25">
      <c r="A33" s="27">
        <v>1</v>
      </c>
    </row>
    <row r="34" ht="11.25">
      <c r="A34" s="27">
        <v>1</v>
      </c>
    </row>
    <row r="35" ht="11.25">
      <c r="A35" s="27">
        <v>4</v>
      </c>
    </row>
    <row r="36" ht="11.25">
      <c r="A36" s="27">
        <v>5</v>
      </c>
    </row>
    <row r="37" ht="11.25">
      <c r="A37" s="27">
        <v>2</v>
      </c>
    </row>
    <row r="38" ht="11.25">
      <c r="A38" s="27">
        <v>70</v>
      </c>
    </row>
    <row r="39" ht="11.25">
      <c r="A39" s="27" t="s">
        <v>1112</v>
      </c>
    </row>
    <row r="40" ht="11.25">
      <c r="A40" s="27">
        <v>12</v>
      </c>
    </row>
    <row r="41" ht="11.25">
      <c r="A41" s="27">
        <v>3</v>
      </c>
    </row>
    <row r="42" ht="11.25">
      <c r="A42" s="27">
        <v>2</v>
      </c>
    </row>
    <row r="43" ht="11.25">
      <c r="A43" s="27">
        <v>3</v>
      </c>
    </row>
    <row r="44" ht="11.25">
      <c r="A44" s="27">
        <v>4</v>
      </c>
    </row>
    <row r="45" ht="11.25">
      <c r="A45" s="27">
        <v>3</v>
      </c>
    </row>
    <row r="46" ht="11.25">
      <c r="A46" s="27">
        <v>54</v>
      </c>
    </row>
    <row r="47" ht="11.25">
      <c r="A47" s="27" t="s">
        <v>1100</v>
      </c>
    </row>
    <row r="48" ht="11.25">
      <c r="A48" s="27" t="s">
        <v>313</v>
      </c>
    </row>
    <row r="49" ht="11.25">
      <c r="A49" s="27">
        <v>14</v>
      </c>
    </row>
    <row r="50" ht="11.25">
      <c r="A50" s="27">
        <v>2</v>
      </c>
    </row>
    <row r="51" ht="11.25">
      <c r="A51" s="27">
        <v>3</v>
      </c>
    </row>
    <row r="52" ht="11.25">
      <c r="A52" s="27">
        <v>6</v>
      </c>
    </row>
    <row r="53" ht="11.25">
      <c r="A53" s="27">
        <v>3</v>
      </c>
    </row>
    <row r="54" ht="11.25">
      <c r="A54" s="27">
        <v>4</v>
      </c>
    </row>
    <row r="55" ht="11.25">
      <c r="A55" s="27">
        <v>41</v>
      </c>
    </row>
    <row r="56" ht="11.25">
      <c r="A56" s="27" t="s">
        <v>1113</v>
      </c>
    </row>
    <row r="57" ht="11.25">
      <c r="A57" s="27" t="s">
        <v>594</v>
      </c>
    </row>
    <row r="58" ht="11.25">
      <c r="A58" s="27">
        <v>15</v>
      </c>
    </row>
    <row r="59" ht="11.25">
      <c r="A59" s="27">
        <v>4</v>
      </c>
    </row>
    <row r="60" ht="11.25">
      <c r="A60" s="27">
        <v>4</v>
      </c>
    </row>
    <row r="61" ht="11.25">
      <c r="A61" s="27">
        <v>5</v>
      </c>
    </row>
    <row r="62" ht="11.25">
      <c r="A62" s="27">
        <v>2</v>
      </c>
    </row>
    <row r="63" ht="11.25">
      <c r="A63" s="27">
        <v>5</v>
      </c>
    </row>
    <row r="64" ht="11.25">
      <c r="A64" s="27">
        <v>176</v>
      </c>
    </row>
    <row r="65" ht="11.25">
      <c r="A65" s="27" t="s">
        <v>1114</v>
      </c>
    </row>
    <row r="66" ht="11.25">
      <c r="A66" s="27" t="s">
        <v>1115</v>
      </c>
    </row>
    <row r="67" ht="11.25">
      <c r="A67" s="27">
        <v>16</v>
      </c>
    </row>
    <row r="68" ht="11.25">
      <c r="A68" s="27" t="s">
        <v>1116</v>
      </c>
    </row>
    <row r="69" ht="11.25">
      <c r="A69" s="27" t="s">
        <v>1116</v>
      </c>
    </row>
    <row r="70" ht="11.25">
      <c r="A70" s="27">
        <v>1</v>
      </c>
    </row>
    <row r="71" ht="11.25">
      <c r="A71" s="27">
        <v>1</v>
      </c>
    </row>
    <row r="72" ht="11.25">
      <c r="A72" s="27">
        <v>6</v>
      </c>
    </row>
    <row r="73" ht="11.25">
      <c r="A73" s="27">
        <v>142</v>
      </c>
    </row>
    <row r="74" ht="11.25">
      <c r="A74" s="27" t="s">
        <v>507</v>
      </c>
    </row>
    <row r="75" ht="11.25">
      <c r="A75" s="27" t="s">
        <v>313</v>
      </c>
    </row>
    <row r="76" ht="11.25">
      <c r="A76" s="27">
        <v>22</v>
      </c>
    </row>
    <row r="77" ht="11.25">
      <c r="A77" s="27" t="s">
        <v>1116</v>
      </c>
    </row>
    <row r="78" ht="11.25">
      <c r="A78" s="27" t="s">
        <v>1116</v>
      </c>
    </row>
    <row r="79" ht="11.25">
      <c r="A79" s="27">
        <v>2</v>
      </c>
    </row>
    <row r="80" ht="11.25">
      <c r="A80" s="27">
        <v>6</v>
      </c>
    </row>
  </sheetData>
  <sheetProtection/>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sheetPr codeName="Sheet22">
    <pageSetUpPr fitToPage="1"/>
  </sheetPr>
  <dimension ref="B2:K32"/>
  <sheetViews>
    <sheetView zoomScalePageLayoutView="0" workbookViewId="0" topLeftCell="A1">
      <selection activeCell="D32" sqref="D32"/>
    </sheetView>
  </sheetViews>
  <sheetFormatPr defaultColWidth="9.140625" defaultRowHeight="12.75"/>
  <cols>
    <col min="1" max="3" width="9.140625" style="27" customWidth="1"/>
    <col min="4" max="4" width="21.140625" style="27" customWidth="1"/>
    <col min="5" max="5" width="8.57421875" style="24" bestFit="1" customWidth="1"/>
    <col min="6" max="11" width="7.140625" style="27" customWidth="1"/>
    <col min="12" max="16384" width="9.140625" style="27" customWidth="1"/>
  </cols>
  <sheetData>
    <row r="2" spans="2:3" ht="15.75">
      <c r="B2" s="21" t="s">
        <v>473</v>
      </c>
      <c r="C2" s="3"/>
    </row>
    <row r="3" spans="2:3" ht="12.75">
      <c r="B3" s="70" t="s">
        <v>452</v>
      </c>
      <c r="C3" s="3"/>
    </row>
    <row r="4" ht="11.25">
      <c r="B4" s="54" t="s">
        <v>474</v>
      </c>
    </row>
    <row r="5" ht="11.25">
      <c r="B5" s="54" t="s">
        <v>484</v>
      </c>
    </row>
    <row r="7" spans="2:11" ht="11.25">
      <c r="B7" s="72" t="s">
        <v>485</v>
      </c>
      <c r="C7" s="72"/>
      <c r="D7" s="72"/>
      <c r="E7" s="99"/>
      <c r="F7" s="72"/>
      <c r="G7" s="72"/>
      <c r="H7" s="72"/>
      <c r="I7" s="72"/>
      <c r="J7" s="72"/>
      <c r="K7" s="72"/>
    </row>
    <row r="8" spans="2:11" ht="11.25">
      <c r="B8" s="72"/>
      <c r="C8" s="72"/>
      <c r="D8" s="72"/>
      <c r="E8" s="99"/>
      <c r="F8" s="72"/>
      <c r="G8" s="72"/>
      <c r="H8" s="72"/>
      <c r="I8" s="72"/>
      <c r="J8" s="72"/>
      <c r="K8" s="72"/>
    </row>
    <row r="9" spans="2:11" ht="11.25">
      <c r="B9" s="84"/>
      <c r="C9" s="84" t="s">
        <v>451</v>
      </c>
      <c r="D9" s="84" t="s">
        <v>353</v>
      </c>
      <c r="E9" s="84" t="s">
        <v>456</v>
      </c>
      <c r="F9" s="84" t="s">
        <v>291</v>
      </c>
      <c r="G9" s="84" t="s">
        <v>292</v>
      </c>
      <c r="H9" s="84" t="s">
        <v>293</v>
      </c>
      <c r="I9" s="84" t="s">
        <v>302</v>
      </c>
      <c r="J9" s="84" t="s">
        <v>355</v>
      </c>
      <c r="K9" s="84" t="s">
        <v>294</v>
      </c>
    </row>
    <row r="10" spans="2:11" ht="11.25">
      <c r="B10" s="38" t="s">
        <v>435</v>
      </c>
      <c r="C10" s="40">
        <v>231</v>
      </c>
      <c r="D10" s="98" t="s">
        <v>419</v>
      </c>
      <c r="E10" s="40" t="s">
        <v>313</v>
      </c>
      <c r="F10" s="40">
        <v>6</v>
      </c>
      <c r="G10" s="40">
        <v>2</v>
      </c>
      <c r="H10" s="40">
        <v>2</v>
      </c>
      <c r="I10" s="40">
        <v>1</v>
      </c>
      <c r="J10" s="40">
        <v>1</v>
      </c>
      <c r="K10" s="38">
        <v>6</v>
      </c>
    </row>
    <row r="11" spans="2:11" ht="11.25">
      <c r="B11" s="40" t="s">
        <v>437</v>
      </c>
      <c r="C11" s="40">
        <v>106</v>
      </c>
      <c r="D11" s="73" t="s">
        <v>415</v>
      </c>
      <c r="E11" s="40" t="s">
        <v>313</v>
      </c>
      <c r="F11" s="40">
        <v>1</v>
      </c>
      <c r="G11" s="40">
        <v>7</v>
      </c>
      <c r="H11" s="40">
        <v>3</v>
      </c>
      <c r="I11" s="40">
        <v>2</v>
      </c>
      <c r="J11" s="40">
        <v>5</v>
      </c>
      <c r="K11" s="40">
        <v>11</v>
      </c>
    </row>
    <row r="12" spans="2:11" ht="11.25">
      <c r="B12" s="40" t="s">
        <v>438</v>
      </c>
      <c r="C12" s="40">
        <v>25</v>
      </c>
      <c r="D12" s="73" t="s">
        <v>357</v>
      </c>
      <c r="E12" s="40" t="s">
        <v>313</v>
      </c>
      <c r="F12" s="40">
        <v>4</v>
      </c>
      <c r="G12" s="40">
        <v>3</v>
      </c>
      <c r="H12" s="40">
        <v>7</v>
      </c>
      <c r="I12" s="40">
        <v>5</v>
      </c>
      <c r="J12" s="40">
        <v>3</v>
      </c>
      <c r="K12" s="40">
        <v>15</v>
      </c>
    </row>
    <row r="13" spans="2:11" ht="11.25">
      <c r="B13" s="40" t="s">
        <v>440</v>
      </c>
      <c r="C13" s="40">
        <v>26</v>
      </c>
      <c r="D13" s="73" t="s">
        <v>483</v>
      </c>
      <c r="E13" s="40" t="s">
        <v>313</v>
      </c>
      <c r="F13" s="40">
        <v>10</v>
      </c>
      <c r="G13" s="40">
        <v>6</v>
      </c>
      <c r="H13" s="40">
        <v>1</v>
      </c>
      <c r="I13" s="40">
        <v>6</v>
      </c>
      <c r="J13" s="40">
        <v>4</v>
      </c>
      <c r="K13" s="40">
        <v>17</v>
      </c>
    </row>
    <row r="14" spans="2:11" ht="11.25">
      <c r="B14" s="40" t="s">
        <v>442</v>
      </c>
      <c r="C14" s="40">
        <v>49</v>
      </c>
      <c r="D14" s="102" t="s">
        <v>486</v>
      </c>
      <c r="E14" s="40" t="s">
        <v>313</v>
      </c>
      <c r="F14" s="40">
        <v>3</v>
      </c>
      <c r="G14" s="40">
        <v>5</v>
      </c>
      <c r="H14" s="40">
        <v>6</v>
      </c>
      <c r="I14" s="40">
        <v>3</v>
      </c>
      <c r="J14" s="40">
        <v>8</v>
      </c>
      <c r="K14" s="40">
        <v>17</v>
      </c>
    </row>
    <row r="15" spans="2:11" ht="11.25">
      <c r="B15" s="40" t="s">
        <v>443</v>
      </c>
      <c r="C15" s="40">
        <v>229</v>
      </c>
      <c r="D15" s="73" t="s">
        <v>480</v>
      </c>
      <c r="E15" s="24" t="s">
        <v>475</v>
      </c>
      <c r="F15" s="40">
        <v>6</v>
      </c>
      <c r="G15" s="40">
        <v>4</v>
      </c>
      <c r="H15" s="40">
        <v>5</v>
      </c>
      <c r="I15" s="40">
        <v>4</v>
      </c>
      <c r="J15" s="40">
        <v>9</v>
      </c>
      <c r="K15" s="40">
        <v>19</v>
      </c>
    </row>
    <row r="16" spans="2:11" ht="11.25">
      <c r="B16" s="40" t="s">
        <v>444</v>
      </c>
      <c r="C16" s="40">
        <v>54</v>
      </c>
      <c r="D16" s="73" t="s">
        <v>482</v>
      </c>
      <c r="E16" s="40" t="s">
        <v>313</v>
      </c>
      <c r="F16" s="40">
        <v>5</v>
      </c>
      <c r="G16" s="40">
        <v>1</v>
      </c>
      <c r="H16" s="40">
        <v>4</v>
      </c>
      <c r="I16" s="40">
        <v>14</v>
      </c>
      <c r="J16" s="40">
        <v>10</v>
      </c>
      <c r="K16" s="40">
        <v>20</v>
      </c>
    </row>
    <row r="17" spans="2:11" ht="11.25">
      <c r="B17" s="40" t="s">
        <v>445</v>
      </c>
      <c r="C17" s="40">
        <v>38</v>
      </c>
      <c r="D17" s="31" t="s">
        <v>481</v>
      </c>
      <c r="E17" s="40" t="s">
        <v>313</v>
      </c>
      <c r="F17" s="40">
        <v>8</v>
      </c>
      <c r="G17" s="40">
        <v>10</v>
      </c>
      <c r="H17" s="40">
        <v>10</v>
      </c>
      <c r="I17" s="40">
        <v>9</v>
      </c>
      <c r="J17" s="40">
        <v>6</v>
      </c>
      <c r="K17" s="40">
        <v>33</v>
      </c>
    </row>
    <row r="18" spans="2:11" ht="11.25">
      <c r="B18" s="40" t="s">
        <v>446</v>
      </c>
      <c r="C18" s="40">
        <v>142</v>
      </c>
      <c r="D18" s="73" t="s">
        <v>410</v>
      </c>
      <c r="E18" s="40" t="s">
        <v>313</v>
      </c>
      <c r="F18" s="40">
        <v>11</v>
      </c>
      <c r="G18" s="40">
        <v>9</v>
      </c>
      <c r="H18" s="40">
        <v>11</v>
      </c>
      <c r="I18" s="40">
        <v>7</v>
      </c>
      <c r="J18" s="40">
        <v>7</v>
      </c>
      <c r="K18" s="40">
        <v>34</v>
      </c>
    </row>
    <row r="19" spans="2:11" ht="11.25">
      <c r="B19" s="40" t="s">
        <v>447</v>
      </c>
      <c r="C19" s="40">
        <v>70</v>
      </c>
      <c r="D19" s="73" t="s">
        <v>477</v>
      </c>
      <c r="E19" s="40" t="s">
        <v>313</v>
      </c>
      <c r="F19" s="40">
        <v>2</v>
      </c>
      <c r="G19" s="40">
        <v>12</v>
      </c>
      <c r="H19" s="40">
        <v>8</v>
      </c>
      <c r="I19" s="40">
        <v>16</v>
      </c>
      <c r="J19" s="40">
        <v>15</v>
      </c>
      <c r="K19" s="40">
        <v>37</v>
      </c>
    </row>
    <row r="20" spans="2:11" ht="11.25">
      <c r="B20" s="40" t="s">
        <v>448</v>
      </c>
      <c r="C20" s="40">
        <v>176</v>
      </c>
      <c r="D20" s="73" t="s">
        <v>476</v>
      </c>
      <c r="E20" s="40" t="s">
        <v>313</v>
      </c>
      <c r="F20" s="40">
        <v>9</v>
      </c>
      <c r="G20" s="40">
        <v>8</v>
      </c>
      <c r="H20" s="40">
        <v>9</v>
      </c>
      <c r="I20" s="40">
        <v>11</v>
      </c>
      <c r="J20" s="40">
        <v>11</v>
      </c>
      <c r="K20" s="40">
        <v>37</v>
      </c>
    </row>
    <row r="21" spans="2:11" ht="11.25">
      <c r="B21" s="40" t="s">
        <v>469</v>
      </c>
      <c r="C21" s="40">
        <v>16</v>
      </c>
      <c r="D21" s="73" t="s">
        <v>416</v>
      </c>
      <c r="E21" s="40" t="s">
        <v>313</v>
      </c>
      <c r="F21" s="40">
        <v>14</v>
      </c>
      <c r="G21" s="40">
        <v>14</v>
      </c>
      <c r="H21" s="40">
        <v>12</v>
      </c>
      <c r="I21" s="40">
        <v>8</v>
      </c>
      <c r="J21" s="40">
        <v>13</v>
      </c>
      <c r="K21" s="40">
        <v>47</v>
      </c>
    </row>
    <row r="22" spans="2:11" ht="11.25">
      <c r="B22" s="40" t="s">
        <v>470</v>
      </c>
      <c r="C22" s="40">
        <v>117</v>
      </c>
      <c r="D22" s="102" t="s">
        <v>486</v>
      </c>
      <c r="E22" s="40" t="s">
        <v>313</v>
      </c>
      <c r="F22" s="40">
        <v>13</v>
      </c>
      <c r="G22" s="40">
        <v>11</v>
      </c>
      <c r="H22" s="40">
        <v>14</v>
      </c>
      <c r="I22" s="40">
        <v>10</v>
      </c>
      <c r="J22" s="40">
        <v>16</v>
      </c>
      <c r="K22" s="40">
        <v>48</v>
      </c>
    </row>
    <row r="23" spans="2:11" ht="11.25">
      <c r="B23" s="40" t="s">
        <v>471</v>
      </c>
      <c r="C23" s="40">
        <v>182</v>
      </c>
      <c r="D23" s="73" t="s">
        <v>359</v>
      </c>
      <c r="E23" s="40" t="s">
        <v>313</v>
      </c>
      <c r="F23" s="40" t="s">
        <v>361</v>
      </c>
      <c r="G23" s="40" t="s">
        <v>361</v>
      </c>
      <c r="H23" s="40" t="s">
        <v>361</v>
      </c>
      <c r="I23" s="40">
        <v>12</v>
      </c>
      <c r="J23" s="40">
        <v>2</v>
      </c>
      <c r="K23" s="40">
        <v>50</v>
      </c>
    </row>
    <row r="24" spans="2:11" ht="11.25">
      <c r="B24" s="40" t="s">
        <v>472</v>
      </c>
      <c r="C24" s="40">
        <v>197</v>
      </c>
      <c r="D24" s="73" t="s">
        <v>411</v>
      </c>
      <c r="E24" s="40" t="s">
        <v>313</v>
      </c>
      <c r="F24" s="40">
        <v>12</v>
      </c>
      <c r="G24" s="40">
        <v>13</v>
      </c>
      <c r="H24" s="40">
        <v>13</v>
      </c>
      <c r="I24" s="40">
        <v>13</v>
      </c>
      <c r="J24" s="40">
        <v>12</v>
      </c>
      <c r="K24" s="40">
        <v>50</v>
      </c>
    </row>
    <row r="25" spans="2:11" ht="11.25">
      <c r="B25" s="40" t="s">
        <v>478</v>
      </c>
      <c r="C25" s="40">
        <v>41</v>
      </c>
      <c r="D25" s="73" t="s">
        <v>417</v>
      </c>
      <c r="E25" s="40" t="s">
        <v>313</v>
      </c>
      <c r="F25" s="40" t="s">
        <v>361</v>
      </c>
      <c r="G25" s="40" t="s">
        <v>361</v>
      </c>
      <c r="H25" s="40" t="s">
        <v>361</v>
      </c>
      <c r="I25" s="40">
        <v>15</v>
      </c>
      <c r="J25" s="40">
        <v>14</v>
      </c>
      <c r="K25" s="40">
        <v>65</v>
      </c>
    </row>
    <row r="26" spans="2:11" ht="11.25">
      <c r="B26" s="50" t="s">
        <v>479</v>
      </c>
      <c r="C26" s="50">
        <v>5</v>
      </c>
      <c r="D26" s="103" t="s">
        <v>486</v>
      </c>
      <c r="E26" s="50" t="s">
        <v>313</v>
      </c>
      <c r="F26" s="50">
        <v>15</v>
      </c>
      <c r="G26" s="50">
        <v>15</v>
      </c>
      <c r="H26" s="50" t="s">
        <v>299</v>
      </c>
      <c r="I26" s="50" t="s">
        <v>361</v>
      </c>
      <c r="J26" s="50" t="s">
        <v>361</v>
      </c>
      <c r="K26" s="50">
        <v>66</v>
      </c>
    </row>
    <row r="27" spans="2:11" ht="11.25">
      <c r="B27" s="66"/>
      <c r="C27" s="66"/>
      <c r="D27" s="66"/>
      <c r="E27" s="66"/>
      <c r="F27" s="66"/>
      <c r="G27" s="66"/>
      <c r="H27" s="66"/>
      <c r="I27" s="66"/>
      <c r="J27" s="66"/>
      <c r="K27" s="66"/>
    </row>
    <row r="28" spans="2:11" ht="11.25">
      <c r="B28" s="101" t="s">
        <v>488</v>
      </c>
      <c r="C28" s="66"/>
      <c r="D28" s="66"/>
      <c r="E28" s="66"/>
      <c r="F28" s="66"/>
      <c r="G28" s="66"/>
      <c r="H28" s="66"/>
      <c r="I28" s="66"/>
      <c r="J28" s="66"/>
      <c r="K28" s="66"/>
    </row>
    <row r="29" spans="2:11" ht="11.25">
      <c r="B29" s="66"/>
      <c r="C29" s="66"/>
      <c r="D29" s="66"/>
      <c r="E29" s="66"/>
      <c r="F29" s="66"/>
      <c r="G29" s="66"/>
      <c r="H29" s="66"/>
      <c r="I29" s="66"/>
      <c r="J29" s="66"/>
      <c r="K29" s="66"/>
    </row>
    <row r="30" ht="12.75">
      <c r="B30" s="75" t="s">
        <v>489</v>
      </c>
    </row>
    <row r="32" ht="12.75">
      <c r="B32" s="75" t="s">
        <v>487</v>
      </c>
    </row>
  </sheetData>
  <sheetProtection/>
  <hyperlinks>
    <hyperlink ref="B30" r:id="rId1" display="http://www.larchmontyc.org/racing/2004-Columbus-Day-results2.htm"/>
    <hyperlink ref="B32" r:id="rId2" display="http://www.starclass.org/search.cgi?Action=view&amp;Event_id=388"/>
  </hyperlinks>
  <printOptions horizontalCentered="1" verticalCentered="1"/>
  <pageMargins left="0.75" right="0.75" top="1" bottom="1" header="0.5" footer="0.5"/>
  <pageSetup fitToHeight="1" fitToWidth="1" horizontalDpi="600" verticalDpi="600" orientation="landscape" r:id="rId3"/>
</worksheet>
</file>

<file path=xl/worksheets/sheet52.xml><?xml version="1.0" encoding="utf-8"?>
<worksheet xmlns="http://schemas.openxmlformats.org/spreadsheetml/2006/main" xmlns:r="http://schemas.openxmlformats.org/officeDocument/2006/relationships">
  <sheetPr codeName="Sheet13">
    <pageSetUpPr fitToPage="1"/>
  </sheetPr>
  <dimension ref="A1:AV292"/>
  <sheetViews>
    <sheetView showGridLines="0" zoomScalePageLayoutView="0" workbookViewId="0" topLeftCell="A1">
      <selection activeCell="A1" sqref="A1"/>
    </sheetView>
  </sheetViews>
  <sheetFormatPr defaultColWidth="9.140625" defaultRowHeight="12.75"/>
  <cols>
    <col min="1" max="1" width="5.28125" style="160" customWidth="1"/>
    <col min="2" max="22" width="4.421875" style="160" customWidth="1"/>
    <col min="23" max="23" width="4.7109375" style="160" customWidth="1"/>
    <col min="24" max="16384" width="9.140625" style="160" customWidth="1"/>
  </cols>
  <sheetData>
    <row r="1" ht="12.75">
      <c r="A1" s="171" t="s">
        <v>658</v>
      </c>
    </row>
    <row r="2" ht="11.25">
      <c r="A2" s="161"/>
    </row>
    <row r="3" ht="11.25">
      <c r="A3" s="161" t="s">
        <v>192</v>
      </c>
    </row>
    <row r="4" ht="11.25">
      <c r="A4" s="161" t="s">
        <v>659</v>
      </c>
    </row>
    <row r="5" ht="11.25">
      <c r="A5" s="161" t="s">
        <v>193</v>
      </c>
    </row>
    <row r="6" ht="11.25">
      <c r="A6" s="161"/>
    </row>
    <row r="7" ht="11.25">
      <c r="A7" s="161"/>
    </row>
    <row r="8" ht="12.75">
      <c r="A8" s="170" t="s">
        <v>657</v>
      </c>
    </row>
    <row r="9" ht="11.25">
      <c r="A9" s="162"/>
    </row>
    <row r="10" ht="11.25">
      <c r="A10" s="161" t="s">
        <v>194</v>
      </c>
    </row>
    <row r="11" ht="11.25">
      <c r="A11" s="161"/>
    </row>
    <row r="12" ht="11.25">
      <c r="A12" s="161" t="s">
        <v>195</v>
      </c>
    </row>
    <row r="13" ht="11.25">
      <c r="A13" s="161" t="s">
        <v>196</v>
      </c>
    </row>
    <row r="14" ht="11.25">
      <c r="A14" s="161" t="s">
        <v>197</v>
      </c>
    </row>
    <row r="15" ht="11.25">
      <c r="A15" s="161" t="s">
        <v>210</v>
      </c>
    </row>
    <row r="16" ht="11.25">
      <c r="A16" s="161" t="s">
        <v>213</v>
      </c>
    </row>
    <row r="18" spans="1:47" ht="11.25">
      <c r="A18" s="163"/>
      <c r="B18" s="163">
        <v>1</v>
      </c>
      <c r="C18" s="163">
        <v>2</v>
      </c>
      <c r="D18" s="163">
        <v>3</v>
      </c>
      <c r="E18" s="163">
        <v>4</v>
      </c>
      <c r="F18" s="163">
        <v>5</v>
      </c>
      <c r="G18" s="163">
        <v>6</v>
      </c>
      <c r="H18" s="163">
        <v>7</v>
      </c>
      <c r="I18" s="163">
        <v>8</v>
      </c>
      <c r="J18" s="163">
        <v>9</v>
      </c>
      <c r="K18" s="163">
        <v>10</v>
      </c>
      <c r="L18" s="163">
        <v>11</v>
      </c>
      <c r="M18" s="163">
        <v>12</v>
      </c>
      <c r="N18" s="163">
        <v>13</v>
      </c>
      <c r="O18" s="163">
        <v>14</v>
      </c>
      <c r="P18" s="163">
        <v>15</v>
      </c>
      <c r="Q18" s="163">
        <v>16</v>
      </c>
      <c r="R18" s="163">
        <v>17</v>
      </c>
      <c r="S18" s="163">
        <v>18</v>
      </c>
      <c r="T18" s="163">
        <v>19</v>
      </c>
      <c r="U18" s="163" t="s">
        <v>214</v>
      </c>
      <c r="AA18" s="163"/>
      <c r="AB18" s="163">
        <v>1</v>
      </c>
      <c r="AC18" s="163">
        <v>2</v>
      </c>
      <c r="AD18" s="163">
        <v>3</v>
      </c>
      <c r="AE18" s="163">
        <v>4</v>
      </c>
      <c r="AF18" s="163">
        <v>5</v>
      </c>
      <c r="AG18" s="163">
        <v>6</v>
      </c>
      <c r="AH18" s="163">
        <v>7</v>
      </c>
      <c r="AI18" s="163">
        <v>8</v>
      </c>
      <c r="AJ18" s="163">
        <v>9</v>
      </c>
      <c r="AK18" s="163">
        <v>10</v>
      </c>
      <c r="AL18" s="163">
        <v>11</v>
      </c>
      <c r="AM18" s="163">
        <v>12</v>
      </c>
      <c r="AN18" s="163">
        <v>13</v>
      </c>
      <c r="AO18" s="163">
        <v>14</v>
      </c>
      <c r="AP18" s="163">
        <v>15</v>
      </c>
      <c r="AQ18" s="163">
        <v>16</v>
      </c>
      <c r="AR18" s="163">
        <v>17</v>
      </c>
      <c r="AS18" s="163">
        <v>18</v>
      </c>
      <c r="AT18" s="163">
        <v>19</v>
      </c>
      <c r="AU18" s="163" t="s">
        <v>214</v>
      </c>
    </row>
    <row r="19" spans="1:48" ht="11.25">
      <c r="A19" s="164">
        <v>1</v>
      </c>
      <c r="B19" s="160">
        <v>0</v>
      </c>
      <c r="C19" s="160">
        <v>10</v>
      </c>
      <c r="D19" s="160">
        <v>31</v>
      </c>
      <c r="E19" s="160">
        <v>43</v>
      </c>
      <c r="F19" s="160">
        <v>52</v>
      </c>
      <c r="G19" s="160">
        <v>60</v>
      </c>
      <c r="H19" s="160">
        <v>66</v>
      </c>
      <c r="I19" s="160">
        <v>72</v>
      </c>
      <c r="J19" s="160">
        <v>76</v>
      </c>
      <c r="K19" s="160">
        <v>80</v>
      </c>
      <c r="L19" s="160">
        <v>84</v>
      </c>
      <c r="M19" s="160">
        <v>87</v>
      </c>
      <c r="N19" s="160">
        <v>90</v>
      </c>
      <c r="O19" s="160">
        <v>92</v>
      </c>
      <c r="P19" s="160">
        <v>94</v>
      </c>
      <c r="Q19" s="160">
        <v>96</v>
      </c>
      <c r="R19" s="160">
        <v>97</v>
      </c>
      <c r="S19" s="160">
        <v>98</v>
      </c>
      <c r="T19" s="160">
        <v>99</v>
      </c>
      <c r="U19" s="160">
        <v>100</v>
      </c>
      <c r="V19" s="164">
        <v>1</v>
      </c>
      <c r="AA19" s="164">
        <v>1</v>
      </c>
      <c r="AB19" s="160">
        <v>0</v>
      </c>
      <c r="AC19" s="309">
        <f>C19/C$19</f>
        <v>1</v>
      </c>
      <c r="AD19" s="309">
        <f aca="true" t="shared" si="0" ref="AD19:AD38">D19/D$19</f>
        <v>1</v>
      </c>
      <c r="AE19" s="309">
        <f aca="true" t="shared" si="1" ref="AE19:AE38">E19/E$19</f>
        <v>1</v>
      </c>
      <c r="AF19" s="309">
        <f aca="true" t="shared" si="2" ref="AF19:AF38">F19/F$19</f>
        <v>1</v>
      </c>
      <c r="AG19" s="309">
        <f aca="true" t="shared" si="3" ref="AG19:AG38">G19/G$19</f>
        <v>1</v>
      </c>
      <c r="AH19" s="309">
        <f aca="true" t="shared" si="4" ref="AH19:AH38">H19/H$19</f>
        <v>1</v>
      </c>
      <c r="AI19" s="309">
        <f aca="true" t="shared" si="5" ref="AI19:AI38">I19/I$19</f>
        <v>1</v>
      </c>
      <c r="AJ19" s="309">
        <f aca="true" t="shared" si="6" ref="AJ19:AJ38">J19/J$19</f>
        <v>1</v>
      </c>
      <c r="AK19" s="309">
        <f aca="true" t="shared" si="7" ref="AK19:AK38">K19/K$19</f>
        <v>1</v>
      </c>
      <c r="AL19" s="309">
        <f aca="true" t="shared" si="8" ref="AL19:AL38">L19/L$19</f>
        <v>1</v>
      </c>
      <c r="AM19" s="309">
        <f aca="true" t="shared" si="9" ref="AM19:AM38">M19/M$19</f>
        <v>1</v>
      </c>
      <c r="AN19" s="309">
        <f aca="true" t="shared" si="10" ref="AN19:AN38">N19/N$19</f>
        <v>1</v>
      </c>
      <c r="AO19" s="309">
        <f aca="true" t="shared" si="11" ref="AO19:AO38">O19/O$19</f>
        <v>1</v>
      </c>
      <c r="AP19" s="309">
        <f aca="true" t="shared" si="12" ref="AP19:AP38">P19/P$19</f>
        <v>1</v>
      </c>
      <c r="AQ19" s="309">
        <f aca="true" t="shared" si="13" ref="AQ19:AQ38">Q19/Q$19</f>
        <v>1</v>
      </c>
      <c r="AR19" s="309">
        <f aca="true" t="shared" si="14" ref="AR19:AR38">R19/R$19</f>
        <v>1</v>
      </c>
      <c r="AS19" s="309">
        <f aca="true" t="shared" si="15" ref="AS19:AS38">S19/S$19</f>
        <v>1</v>
      </c>
      <c r="AT19" s="309">
        <f aca="true" t="shared" si="16" ref="AT19:AT38">T19/T$19</f>
        <v>1</v>
      </c>
      <c r="AU19" s="309">
        <f aca="true" t="shared" si="17" ref="AU19:AU38">U19/U$19</f>
        <v>1</v>
      </c>
      <c r="AV19" s="164">
        <v>1</v>
      </c>
    </row>
    <row r="20" spans="1:48" ht="11.25">
      <c r="A20" s="164">
        <v>2</v>
      </c>
      <c r="C20" s="160">
        <v>7</v>
      </c>
      <c r="D20" s="160">
        <v>25</v>
      </c>
      <c r="E20" s="160">
        <v>37</v>
      </c>
      <c r="F20" s="160">
        <v>46</v>
      </c>
      <c r="G20" s="160">
        <v>54</v>
      </c>
      <c r="H20" s="160">
        <v>60</v>
      </c>
      <c r="I20" s="160">
        <v>66</v>
      </c>
      <c r="J20" s="160">
        <v>70</v>
      </c>
      <c r="K20" s="160">
        <v>74</v>
      </c>
      <c r="L20" s="160">
        <v>78</v>
      </c>
      <c r="M20" s="160">
        <v>81</v>
      </c>
      <c r="N20" s="160">
        <v>84</v>
      </c>
      <c r="O20" s="160">
        <v>86</v>
      </c>
      <c r="P20" s="160">
        <v>88</v>
      </c>
      <c r="Q20" s="160">
        <v>90</v>
      </c>
      <c r="R20" s="160">
        <v>91</v>
      </c>
      <c r="S20" s="160">
        <v>92</v>
      </c>
      <c r="T20" s="160">
        <v>93</v>
      </c>
      <c r="U20" s="160">
        <v>94</v>
      </c>
      <c r="V20" s="164">
        <v>2</v>
      </c>
      <c r="AA20" s="164">
        <v>2</v>
      </c>
      <c r="AC20" s="309">
        <f aca="true" t="shared" si="18" ref="AC20:AC38">C20/C$19</f>
        <v>0.7</v>
      </c>
      <c r="AD20" s="309">
        <f t="shared" si="0"/>
        <v>0.8064516129032258</v>
      </c>
      <c r="AE20" s="309">
        <f t="shared" si="1"/>
        <v>0.8604651162790697</v>
      </c>
      <c r="AF20" s="309">
        <f t="shared" si="2"/>
        <v>0.8846153846153846</v>
      </c>
      <c r="AG20" s="309">
        <f t="shared" si="3"/>
        <v>0.9</v>
      </c>
      <c r="AH20" s="309">
        <f t="shared" si="4"/>
        <v>0.9090909090909091</v>
      </c>
      <c r="AI20" s="309">
        <f t="shared" si="5"/>
        <v>0.9166666666666666</v>
      </c>
      <c r="AJ20" s="309">
        <f t="shared" si="6"/>
        <v>0.9210526315789473</v>
      </c>
      <c r="AK20" s="309">
        <f t="shared" si="7"/>
        <v>0.925</v>
      </c>
      <c r="AL20" s="309">
        <f t="shared" si="8"/>
        <v>0.9285714285714286</v>
      </c>
      <c r="AM20" s="309">
        <f t="shared" si="9"/>
        <v>0.9310344827586207</v>
      </c>
      <c r="AN20" s="309">
        <f t="shared" si="10"/>
        <v>0.9333333333333333</v>
      </c>
      <c r="AO20" s="309">
        <f t="shared" si="11"/>
        <v>0.9347826086956522</v>
      </c>
      <c r="AP20" s="309">
        <f t="shared" si="12"/>
        <v>0.9361702127659575</v>
      </c>
      <c r="AQ20" s="309">
        <f t="shared" si="13"/>
        <v>0.9375</v>
      </c>
      <c r="AR20" s="309">
        <f t="shared" si="14"/>
        <v>0.9381443298969072</v>
      </c>
      <c r="AS20" s="309">
        <f t="shared" si="15"/>
        <v>0.9387755102040817</v>
      </c>
      <c r="AT20" s="309">
        <f t="shared" si="16"/>
        <v>0.9393939393939394</v>
      </c>
      <c r="AU20" s="309">
        <f t="shared" si="17"/>
        <v>0.94</v>
      </c>
      <c r="AV20" s="164">
        <v>2</v>
      </c>
    </row>
    <row r="21" spans="1:48" ht="11.25">
      <c r="A21" s="164">
        <v>3</v>
      </c>
      <c r="D21" s="160">
        <v>21</v>
      </c>
      <c r="E21" s="160">
        <v>33</v>
      </c>
      <c r="F21" s="160">
        <v>42</v>
      </c>
      <c r="G21" s="160">
        <v>50</v>
      </c>
      <c r="H21" s="160">
        <v>56</v>
      </c>
      <c r="I21" s="160">
        <v>62</v>
      </c>
      <c r="J21" s="160">
        <v>66</v>
      </c>
      <c r="K21" s="160">
        <v>70</v>
      </c>
      <c r="L21" s="160">
        <v>74</v>
      </c>
      <c r="M21" s="160">
        <v>77</v>
      </c>
      <c r="N21" s="160">
        <v>80</v>
      </c>
      <c r="O21" s="160">
        <v>82</v>
      </c>
      <c r="P21" s="160">
        <v>84</v>
      </c>
      <c r="Q21" s="160">
        <v>86</v>
      </c>
      <c r="R21" s="160">
        <v>87</v>
      </c>
      <c r="S21" s="160">
        <v>88</v>
      </c>
      <c r="T21" s="160">
        <v>89</v>
      </c>
      <c r="U21" s="160">
        <v>90</v>
      </c>
      <c r="V21" s="164">
        <v>3</v>
      </c>
      <c r="AA21" s="164">
        <v>3</v>
      </c>
      <c r="AC21" s="309">
        <f t="shared" si="18"/>
        <v>0</v>
      </c>
      <c r="AD21" s="309">
        <f t="shared" si="0"/>
        <v>0.6774193548387096</v>
      </c>
      <c r="AE21" s="309">
        <f t="shared" si="1"/>
        <v>0.7674418604651163</v>
      </c>
      <c r="AF21" s="309">
        <f t="shared" si="2"/>
        <v>0.8076923076923077</v>
      </c>
      <c r="AG21" s="309">
        <f t="shared" si="3"/>
        <v>0.8333333333333334</v>
      </c>
      <c r="AH21" s="309">
        <f t="shared" si="4"/>
        <v>0.8484848484848485</v>
      </c>
      <c r="AI21" s="309">
        <f t="shared" si="5"/>
        <v>0.8611111111111112</v>
      </c>
      <c r="AJ21" s="309">
        <f t="shared" si="6"/>
        <v>0.868421052631579</v>
      </c>
      <c r="AK21" s="309">
        <f t="shared" si="7"/>
        <v>0.875</v>
      </c>
      <c r="AL21" s="309">
        <f t="shared" si="8"/>
        <v>0.8809523809523809</v>
      </c>
      <c r="AM21" s="309">
        <f t="shared" si="9"/>
        <v>0.8850574712643678</v>
      </c>
      <c r="AN21" s="309">
        <f t="shared" si="10"/>
        <v>0.8888888888888888</v>
      </c>
      <c r="AO21" s="309">
        <f t="shared" si="11"/>
        <v>0.8913043478260869</v>
      </c>
      <c r="AP21" s="309">
        <f t="shared" si="12"/>
        <v>0.8936170212765957</v>
      </c>
      <c r="AQ21" s="309">
        <f t="shared" si="13"/>
        <v>0.8958333333333334</v>
      </c>
      <c r="AR21" s="309">
        <f t="shared" si="14"/>
        <v>0.8969072164948454</v>
      </c>
      <c r="AS21" s="309">
        <f t="shared" si="15"/>
        <v>0.8979591836734694</v>
      </c>
      <c r="AT21" s="309">
        <f t="shared" si="16"/>
        <v>0.898989898989899</v>
      </c>
      <c r="AU21" s="309">
        <f t="shared" si="17"/>
        <v>0.9</v>
      </c>
      <c r="AV21" s="164">
        <v>3</v>
      </c>
    </row>
    <row r="22" spans="1:48" ht="11.25">
      <c r="A22" s="164">
        <v>4</v>
      </c>
      <c r="E22" s="160">
        <v>29</v>
      </c>
      <c r="F22" s="160">
        <v>38</v>
      </c>
      <c r="G22" s="160">
        <v>46</v>
      </c>
      <c r="H22" s="160">
        <v>52</v>
      </c>
      <c r="I22" s="160">
        <v>58</v>
      </c>
      <c r="J22" s="160">
        <v>62</v>
      </c>
      <c r="K22" s="160">
        <v>68</v>
      </c>
      <c r="L22" s="160">
        <v>70</v>
      </c>
      <c r="M22" s="160">
        <v>73</v>
      </c>
      <c r="N22" s="160">
        <v>76</v>
      </c>
      <c r="O22" s="160">
        <v>78</v>
      </c>
      <c r="P22" s="160">
        <v>80</v>
      </c>
      <c r="Q22" s="160">
        <v>82</v>
      </c>
      <c r="R22" s="160">
        <v>83</v>
      </c>
      <c r="S22" s="160">
        <v>84</v>
      </c>
      <c r="T22" s="160">
        <v>85</v>
      </c>
      <c r="U22" s="160">
        <v>86</v>
      </c>
      <c r="V22" s="164">
        <v>4</v>
      </c>
      <c r="AA22" s="164">
        <v>4</v>
      </c>
      <c r="AC22" s="309">
        <f t="shared" si="18"/>
        <v>0</v>
      </c>
      <c r="AD22" s="309">
        <f t="shared" si="0"/>
        <v>0</v>
      </c>
      <c r="AE22" s="309">
        <f t="shared" si="1"/>
        <v>0.6744186046511628</v>
      </c>
      <c r="AF22" s="309">
        <f t="shared" si="2"/>
        <v>0.7307692307692307</v>
      </c>
      <c r="AG22" s="309">
        <f t="shared" si="3"/>
        <v>0.7666666666666667</v>
      </c>
      <c r="AH22" s="309">
        <f t="shared" si="4"/>
        <v>0.7878787878787878</v>
      </c>
      <c r="AI22" s="309">
        <f t="shared" si="5"/>
        <v>0.8055555555555556</v>
      </c>
      <c r="AJ22" s="309">
        <f t="shared" si="6"/>
        <v>0.8157894736842105</v>
      </c>
      <c r="AK22" s="309">
        <f t="shared" si="7"/>
        <v>0.85</v>
      </c>
      <c r="AL22" s="309">
        <f t="shared" si="8"/>
        <v>0.8333333333333334</v>
      </c>
      <c r="AM22" s="309">
        <f t="shared" si="9"/>
        <v>0.8390804597701149</v>
      </c>
      <c r="AN22" s="309">
        <f t="shared" si="10"/>
        <v>0.8444444444444444</v>
      </c>
      <c r="AO22" s="309">
        <f t="shared" si="11"/>
        <v>0.8478260869565217</v>
      </c>
      <c r="AP22" s="309">
        <f t="shared" si="12"/>
        <v>0.851063829787234</v>
      </c>
      <c r="AQ22" s="309">
        <f t="shared" si="13"/>
        <v>0.8541666666666666</v>
      </c>
      <c r="AR22" s="309">
        <f t="shared" si="14"/>
        <v>0.8556701030927835</v>
      </c>
      <c r="AS22" s="309">
        <f t="shared" si="15"/>
        <v>0.8571428571428571</v>
      </c>
      <c r="AT22" s="309">
        <f t="shared" si="16"/>
        <v>0.8585858585858586</v>
      </c>
      <c r="AU22" s="309">
        <f t="shared" si="17"/>
        <v>0.86</v>
      </c>
      <c r="AV22" s="164">
        <v>4</v>
      </c>
    </row>
    <row r="23" spans="1:48" ht="11.25">
      <c r="A23" s="164">
        <v>5</v>
      </c>
      <c r="F23" s="160">
        <v>35</v>
      </c>
      <c r="G23" s="160">
        <v>43</v>
      </c>
      <c r="H23" s="160">
        <v>49</v>
      </c>
      <c r="I23" s="160">
        <v>55</v>
      </c>
      <c r="J23" s="160">
        <v>59</v>
      </c>
      <c r="K23" s="160">
        <v>63</v>
      </c>
      <c r="L23" s="160">
        <v>67</v>
      </c>
      <c r="M23" s="160">
        <v>70</v>
      </c>
      <c r="N23" s="160">
        <v>73</v>
      </c>
      <c r="O23" s="160">
        <v>75</v>
      </c>
      <c r="P23" s="160">
        <v>77</v>
      </c>
      <c r="Q23" s="160">
        <v>79</v>
      </c>
      <c r="R23" s="160">
        <v>80</v>
      </c>
      <c r="S23" s="160">
        <v>81</v>
      </c>
      <c r="T23" s="160">
        <v>82</v>
      </c>
      <c r="U23" s="160">
        <v>83</v>
      </c>
      <c r="V23" s="164">
        <v>5</v>
      </c>
      <c r="AA23" s="164">
        <v>5</v>
      </c>
      <c r="AC23" s="309">
        <f t="shared" si="18"/>
        <v>0</v>
      </c>
      <c r="AD23" s="309">
        <f t="shared" si="0"/>
        <v>0</v>
      </c>
      <c r="AE23" s="309">
        <f t="shared" si="1"/>
        <v>0</v>
      </c>
      <c r="AF23" s="309">
        <f t="shared" si="2"/>
        <v>0.6730769230769231</v>
      </c>
      <c r="AG23" s="309">
        <f t="shared" si="3"/>
        <v>0.7166666666666667</v>
      </c>
      <c r="AH23" s="309">
        <f t="shared" si="4"/>
        <v>0.7424242424242424</v>
      </c>
      <c r="AI23" s="309">
        <f t="shared" si="5"/>
        <v>0.7638888888888888</v>
      </c>
      <c r="AJ23" s="309">
        <f t="shared" si="6"/>
        <v>0.7763157894736842</v>
      </c>
      <c r="AK23" s="309">
        <f t="shared" si="7"/>
        <v>0.7875</v>
      </c>
      <c r="AL23" s="309">
        <f t="shared" si="8"/>
        <v>0.7976190476190477</v>
      </c>
      <c r="AM23" s="309">
        <f t="shared" si="9"/>
        <v>0.8045977011494253</v>
      </c>
      <c r="AN23" s="309">
        <f t="shared" si="10"/>
        <v>0.8111111111111111</v>
      </c>
      <c r="AO23" s="309">
        <f t="shared" si="11"/>
        <v>0.8152173913043478</v>
      </c>
      <c r="AP23" s="309">
        <f t="shared" si="12"/>
        <v>0.8191489361702128</v>
      </c>
      <c r="AQ23" s="309">
        <f t="shared" si="13"/>
        <v>0.8229166666666666</v>
      </c>
      <c r="AR23" s="309">
        <f t="shared" si="14"/>
        <v>0.8247422680412371</v>
      </c>
      <c r="AS23" s="309">
        <f t="shared" si="15"/>
        <v>0.826530612244898</v>
      </c>
      <c r="AT23" s="309">
        <f t="shared" si="16"/>
        <v>0.8282828282828283</v>
      </c>
      <c r="AU23" s="309">
        <f t="shared" si="17"/>
        <v>0.83</v>
      </c>
      <c r="AV23" s="164">
        <v>5</v>
      </c>
    </row>
    <row r="24" spans="1:48" ht="11.25">
      <c r="A24" s="164">
        <v>6</v>
      </c>
      <c r="G24" s="160">
        <v>40</v>
      </c>
      <c r="H24" s="160">
        <v>46</v>
      </c>
      <c r="I24" s="160">
        <v>52</v>
      </c>
      <c r="J24" s="160">
        <v>56</v>
      </c>
      <c r="K24" s="160">
        <v>60</v>
      </c>
      <c r="L24" s="160">
        <v>64</v>
      </c>
      <c r="M24" s="160">
        <v>67</v>
      </c>
      <c r="N24" s="160">
        <v>70</v>
      </c>
      <c r="O24" s="160">
        <v>72</v>
      </c>
      <c r="P24" s="160">
        <v>74</v>
      </c>
      <c r="Q24" s="160">
        <v>76</v>
      </c>
      <c r="R24" s="160">
        <v>77</v>
      </c>
      <c r="S24" s="160">
        <v>78</v>
      </c>
      <c r="T24" s="160">
        <v>79</v>
      </c>
      <c r="U24" s="160">
        <v>80</v>
      </c>
      <c r="V24" s="164">
        <v>6</v>
      </c>
      <c r="AA24" s="164">
        <v>6</v>
      </c>
      <c r="AC24" s="309">
        <f t="shared" si="18"/>
        <v>0</v>
      </c>
      <c r="AD24" s="309">
        <f t="shared" si="0"/>
        <v>0</v>
      </c>
      <c r="AE24" s="309">
        <f t="shared" si="1"/>
        <v>0</v>
      </c>
      <c r="AF24" s="309">
        <f t="shared" si="2"/>
        <v>0</v>
      </c>
      <c r="AG24" s="309">
        <f t="shared" si="3"/>
        <v>0.6666666666666666</v>
      </c>
      <c r="AH24" s="309">
        <f t="shared" si="4"/>
        <v>0.696969696969697</v>
      </c>
      <c r="AI24" s="309">
        <f t="shared" si="5"/>
        <v>0.7222222222222222</v>
      </c>
      <c r="AJ24" s="309">
        <f t="shared" si="6"/>
        <v>0.7368421052631579</v>
      </c>
      <c r="AK24" s="309">
        <f t="shared" si="7"/>
        <v>0.75</v>
      </c>
      <c r="AL24" s="309">
        <f t="shared" si="8"/>
        <v>0.7619047619047619</v>
      </c>
      <c r="AM24" s="309">
        <f t="shared" si="9"/>
        <v>0.7701149425287356</v>
      </c>
      <c r="AN24" s="309">
        <f t="shared" si="10"/>
        <v>0.7777777777777778</v>
      </c>
      <c r="AO24" s="309">
        <f t="shared" si="11"/>
        <v>0.782608695652174</v>
      </c>
      <c r="AP24" s="309">
        <f t="shared" si="12"/>
        <v>0.7872340425531915</v>
      </c>
      <c r="AQ24" s="309">
        <f t="shared" si="13"/>
        <v>0.7916666666666666</v>
      </c>
      <c r="AR24" s="309">
        <f t="shared" si="14"/>
        <v>0.7938144329896907</v>
      </c>
      <c r="AS24" s="309">
        <f t="shared" si="15"/>
        <v>0.7959183673469388</v>
      </c>
      <c r="AT24" s="309">
        <f t="shared" si="16"/>
        <v>0.797979797979798</v>
      </c>
      <c r="AU24" s="309">
        <f t="shared" si="17"/>
        <v>0.8</v>
      </c>
      <c r="AV24" s="164">
        <v>6</v>
      </c>
    </row>
    <row r="25" spans="1:48" ht="11.25">
      <c r="A25" s="164">
        <v>7</v>
      </c>
      <c r="H25" s="160">
        <v>44</v>
      </c>
      <c r="I25" s="160">
        <v>50</v>
      </c>
      <c r="J25" s="160">
        <v>54</v>
      </c>
      <c r="K25" s="160">
        <v>58</v>
      </c>
      <c r="L25" s="160">
        <v>62</v>
      </c>
      <c r="M25" s="160">
        <v>65</v>
      </c>
      <c r="N25" s="160">
        <v>68</v>
      </c>
      <c r="O25" s="160">
        <v>70</v>
      </c>
      <c r="P25" s="160">
        <v>72</v>
      </c>
      <c r="Q25" s="160">
        <v>74</v>
      </c>
      <c r="R25" s="160">
        <v>75</v>
      </c>
      <c r="S25" s="160">
        <v>76</v>
      </c>
      <c r="T25" s="160">
        <v>77</v>
      </c>
      <c r="U25" s="160">
        <v>78</v>
      </c>
      <c r="V25" s="164">
        <v>7</v>
      </c>
      <c r="AA25" s="164">
        <v>7</v>
      </c>
      <c r="AC25" s="309">
        <f t="shared" si="18"/>
        <v>0</v>
      </c>
      <c r="AD25" s="309">
        <f t="shared" si="0"/>
        <v>0</v>
      </c>
      <c r="AE25" s="309">
        <f t="shared" si="1"/>
        <v>0</v>
      </c>
      <c r="AF25" s="309">
        <f t="shared" si="2"/>
        <v>0</v>
      </c>
      <c r="AG25" s="309">
        <f t="shared" si="3"/>
        <v>0</v>
      </c>
      <c r="AH25" s="309">
        <f t="shared" si="4"/>
        <v>0.6666666666666666</v>
      </c>
      <c r="AI25" s="309">
        <f t="shared" si="5"/>
        <v>0.6944444444444444</v>
      </c>
      <c r="AJ25" s="309">
        <f t="shared" si="6"/>
        <v>0.7105263157894737</v>
      </c>
      <c r="AK25" s="309">
        <f t="shared" si="7"/>
        <v>0.725</v>
      </c>
      <c r="AL25" s="309">
        <f t="shared" si="8"/>
        <v>0.7380952380952381</v>
      </c>
      <c r="AM25" s="309">
        <f t="shared" si="9"/>
        <v>0.7471264367816092</v>
      </c>
      <c r="AN25" s="309">
        <f t="shared" si="10"/>
        <v>0.7555555555555555</v>
      </c>
      <c r="AO25" s="309">
        <f t="shared" si="11"/>
        <v>0.7608695652173914</v>
      </c>
      <c r="AP25" s="309">
        <f t="shared" si="12"/>
        <v>0.7659574468085106</v>
      </c>
      <c r="AQ25" s="309">
        <f t="shared" si="13"/>
        <v>0.7708333333333334</v>
      </c>
      <c r="AR25" s="309">
        <f t="shared" si="14"/>
        <v>0.7731958762886598</v>
      </c>
      <c r="AS25" s="309">
        <f t="shared" si="15"/>
        <v>0.7755102040816326</v>
      </c>
      <c r="AT25" s="309">
        <f t="shared" si="16"/>
        <v>0.7777777777777778</v>
      </c>
      <c r="AU25" s="309">
        <f t="shared" si="17"/>
        <v>0.78</v>
      </c>
      <c r="AV25" s="164">
        <v>7</v>
      </c>
    </row>
    <row r="26" spans="1:48" ht="11.25">
      <c r="A26" s="164">
        <v>8</v>
      </c>
      <c r="I26" s="160">
        <v>48</v>
      </c>
      <c r="J26" s="160">
        <v>52</v>
      </c>
      <c r="K26" s="160">
        <v>56</v>
      </c>
      <c r="L26" s="160">
        <v>60</v>
      </c>
      <c r="M26" s="160">
        <v>63</v>
      </c>
      <c r="N26" s="160">
        <v>66</v>
      </c>
      <c r="O26" s="160">
        <v>68</v>
      </c>
      <c r="P26" s="160">
        <v>70</v>
      </c>
      <c r="Q26" s="160">
        <v>72</v>
      </c>
      <c r="R26" s="160">
        <v>73</v>
      </c>
      <c r="S26" s="160">
        <v>74</v>
      </c>
      <c r="T26" s="160">
        <v>75</v>
      </c>
      <c r="U26" s="160">
        <v>76</v>
      </c>
      <c r="V26" s="164">
        <v>8</v>
      </c>
      <c r="Y26" s="160" t="s">
        <v>191</v>
      </c>
      <c r="AA26" s="164">
        <v>8</v>
      </c>
      <c r="AC26" s="309">
        <f t="shared" si="18"/>
        <v>0</v>
      </c>
      <c r="AD26" s="309">
        <f t="shared" si="0"/>
        <v>0</v>
      </c>
      <c r="AE26" s="309">
        <f t="shared" si="1"/>
        <v>0</v>
      </c>
      <c r="AF26" s="309">
        <f t="shared" si="2"/>
        <v>0</v>
      </c>
      <c r="AG26" s="309">
        <f t="shared" si="3"/>
        <v>0</v>
      </c>
      <c r="AH26" s="309">
        <f t="shared" si="4"/>
        <v>0</v>
      </c>
      <c r="AI26" s="309">
        <f t="shared" si="5"/>
        <v>0.6666666666666666</v>
      </c>
      <c r="AJ26" s="309">
        <f t="shared" si="6"/>
        <v>0.6842105263157895</v>
      </c>
      <c r="AK26" s="309">
        <f t="shared" si="7"/>
        <v>0.7</v>
      </c>
      <c r="AL26" s="309">
        <f t="shared" si="8"/>
        <v>0.7142857142857143</v>
      </c>
      <c r="AM26" s="309">
        <f t="shared" si="9"/>
        <v>0.7241379310344828</v>
      </c>
      <c r="AN26" s="309">
        <f t="shared" si="10"/>
        <v>0.7333333333333333</v>
      </c>
      <c r="AO26" s="309">
        <f t="shared" si="11"/>
        <v>0.7391304347826086</v>
      </c>
      <c r="AP26" s="309">
        <f t="shared" si="12"/>
        <v>0.7446808510638298</v>
      </c>
      <c r="AQ26" s="309">
        <f t="shared" si="13"/>
        <v>0.75</v>
      </c>
      <c r="AR26" s="309">
        <f t="shared" si="14"/>
        <v>0.7525773195876289</v>
      </c>
      <c r="AS26" s="309">
        <f t="shared" si="15"/>
        <v>0.7551020408163265</v>
      </c>
      <c r="AT26" s="309">
        <f t="shared" si="16"/>
        <v>0.7575757575757576</v>
      </c>
      <c r="AU26" s="309">
        <f t="shared" si="17"/>
        <v>0.76</v>
      </c>
      <c r="AV26" s="164">
        <v>8</v>
      </c>
    </row>
    <row r="27" spans="1:48" ht="11.25">
      <c r="A27" s="164">
        <v>9</v>
      </c>
      <c r="J27" s="160">
        <v>50</v>
      </c>
      <c r="K27" s="160">
        <v>54</v>
      </c>
      <c r="L27" s="160">
        <v>58</v>
      </c>
      <c r="M27" s="160">
        <v>61</v>
      </c>
      <c r="N27" s="160">
        <v>64</v>
      </c>
      <c r="O27" s="160">
        <v>66</v>
      </c>
      <c r="P27" s="160">
        <v>68</v>
      </c>
      <c r="Q27" s="160">
        <v>70</v>
      </c>
      <c r="R27" s="160">
        <v>71</v>
      </c>
      <c r="S27" s="160">
        <v>72</v>
      </c>
      <c r="T27" s="160">
        <v>73</v>
      </c>
      <c r="U27" s="160">
        <v>74</v>
      </c>
      <c r="V27" s="164">
        <v>9</v>
      </c>
      <c r="AA27" s="164">
        <v>9</v>
      </c>
      <c r="AC27" s="309">
        <f t="shared" si="18"/>
        <v>0</v>
      </c>
      <c r="AD27" s="309">
        <f t="shared" si="0"/>
        <v>0</v>
      </c>
      <c r="AE27" s="309">
        <f t="shared" si="1"/>
        <v>0</v>
      </c>
      <c r="AF27" s="309">
        <f t="shared" si="2"/>
        <v>0</v>
      </c>
      <c r="AG27" s="309">
        <f t="shared" si="3"/>
        <v>0</v>
      </c>
      <c r="AH27" s="309">
        <f t="shared" si="4"/>
        <v>0</v>
      </c>
      <c r="AI27" s="309">
        <f t="shared" si="5"/>
        <v>0</v>
      </c>
      <c r="AJ27" s="309">
        <f t="shared" si="6"/>
        <v>0.6578947368421053</v>
      </c>
      <c r="AK27" s="309">
        <f t="shared" si="7"/>
        <v>0.675</v>
      </c>
      <c r="AL27" s="309">
        <f t="shared" si="8"/>
        <v>0.6904761904761905</v>
      </c>
      <c r="AM27" s="309">
        <f t="shared" si="9"/>
        <v>0.7011494252873564</v>
      </c>
      <c r="AN27" s="309">
        <f t="shared" si="10"/>
        <v>0.7111111111111111</v>
      </c>
      <c r="AO27" s="309">
        <f t="shared" si="11"/>
        <v>0.717391304347826</v>
      </c>
      <c r="AP27" s="309">
        <f t="shared" si="12"/>
        <v>0.723404255319149</v>
      </c>
      <c r="AQ27" s="309">
        <f t="shared" si="13"/>
        <v>0.7291666666666666</v>
      </c>
      <c r="AR27" s="309">
        <f t="shared" si="14"/>
        <v>0.7319587628865979</v>
      </c>
      <c r="AS27" s="309">
        <f t="shared" si="15"/>
        <v>0.7346938775510204</v>
      </c>
      <c r="AT27" s="309">
        <f t="shared" si="16"/>
        <v>0.7373737373737373</v>
      </c>
      <c r="AU27" s="309">
        <f t="shared" si="17"/>
        <v>0.74</v>
      </c>
      <c r="AV27" s="164">
        <v>9</v>
      </c>
    </row>
    <row r="28" spans="1:48" ht="11.25">
      <c r="A28" s="164">
        <v>10</v>
      </c>
      <c r="K28" s="160">
        <v>52</v>
      </c>
      <c r="L28" s="160">
        <v>56</v>
      </c>
      <c r="M28" s="160">
        <v>59</v>
      </c>
      <c r="N28" s="160">
        <v>62</v>
      </c>
      <c r="O28" s="160">
        <v>64</v>
      </c>
      <c r="P28" s="160">
        <v>66</v>
      </c>
      <c r="Q28" s="160">
        <v>68</v>
      </c>
      <c r="R28" s="160">
        <v>69</v>
      </c>
      <c r="S28" s="160">
        <v>70</v>
      </c>
      <c r="T28" s="160">
        <v>71</v>
      </c>
      <c r="U28" s="160">
        <v>72</v>
      </c>
      <c r="V28" s="164">
        <v>10</v>
      </c>
      <c r="AA28" s="164">
        <v>10</v>
      </c>
      <c r="AC28" s="309">
        <f t="shared" si="18"/>
        <v>0</v>
      </c>
      <c r="AD28" s="309">
        <f t="shared" si="0"/>
        <v>0</v>
      </c>
      <c r="AE28" s="309">
        <f t="shared" si="1"/>
        <v>0</v>
      </c>
      <c r="AF28" s="309">
        <f t="shared" si="2"/>
        <v>0</v>
      </c>
      <c r="AG28" s="309">
        <f t="shared" si="3"/>
        <v>0</v>
      </c>
      <c r="AH28" s="309">
        <f t="shared" si="4"/>
        <v>0</v>
      </c>
      <c r="AI28" s="309">
        <f t="shared" si="5"/>
        <v>0</v>
      </c>
      <c r="AJ28" s="309">
        <f t="shared" si="6"/>
        <v>0</v>
      </c>
      <c r="AK28" s="311">
        <f t="shared" si="7"/>
        <v>0.65</v>
      </c>
      <c r="AL28" s="309">
        <f t="shared" si="8"/>
        <v>0.6666666666666666</v>
      </c>
      <c r="AM28" s="309">
        <f t="shared" si="9"/>
        <v>0.6781609195402298</v>
      </c>
      <c r="AN28" s="309">
        <f t="shared" si="10"/>
        <v>0.6888888888888889</v>
      </c>
      <c r="AO28" s="309">
        <f t="shared" si="11"/>
        <v>0.6956521739130435</v>
      </c>
      <c r="AP28" s="309">
        <f t="shared" si="12"/>
        <v>0.7021276595744681</v>
      </c>
      <c r="AQ28" s="309">
        <f t="shared" si="13"/>
        <v>0.7083333333333334</v>
      </c>
      <c r="AR28" s="309">
        <f t="shared" si="14"/>
        <v>0.711340206185567</v>
      </c>
      <c r="AS28" s="309">
        <f t="shared" si="15"/>
        <v>0.7142857142857143</v>
      </c>
      <c r="AT28" s="309">
        <f t="shared" si="16"/>
        <v>0.7171717171717171</v>
      </c>
      <c r="AU28" s="309">
        <f t="shared" si="17"/>
        <v>0.72</v>
      </c>
      <c r="AV28" s="164">
        <v>10</v>
      </c>
    </row>
    <row r="29" spans="1:48" ht="11.25">
      <c r="A29" s="164">
        <v>11</v>
      </c>
      <c r="L29" s="160">
        <v>54</v>
      </c>
      <c r="M29" s="160">
        <v>57</v>
      </c>
      <c r="N29" s="160">
        <v>60</v>
      </c>
      <c r="O29" s="160">
        <v>62</v>
      </c>
      <c r="P29" s="160">
        <v>64</v>
      </c>
      <c r="Q29" s="160">
        <v>66</v>
      </c>
      <c r="R29" s="160">
        <v>67</v>
      </c>
      <c r="S29" s="160">
        <v>68</v>
      </c>
      <c r="T29" s="160">
        <v>69</v>
      </c>
      <c r="U29" s="160">
        <v>70</v>
      </c>
      <c r="V29" s="164">
        <v>11</v>
      </c>
      <c r="AA29" s="164">
        <v>11</v>
      </c>
      <c r="AC29" s="309">
        <f t="shared" si="18"/>
        <v>0</v>
      </c>
      <c r="AD29" s="309">
        <f t="shared" si="0"/>
        <v>0</v>
      </c>
      <c r="AE29" s="309">
        <f t="shared" si="1"/>
        <v>0</v>
      </c>
      <c r="AF29" s="309">
        <f t="shared" si="2"/>
        <v>0</v>
      </c>
      <c r="AG29" s="309">
        <f t="shared" si="3"/>
        <v>0</v>
      </c>
      <c r="AH29" s="309">
        <f t="shared" si="4"/>
        <v>0</v>
      </c>
      <c r="AI29" s="309">
        <f t="shared" si="5"/>
        <v>0</v>
      </c>
      <c r="AJ29" s="309">
        <f t="shared" si="6"/>
        <v>0</v>
      </c>
      <c r="AK29" s="309">
        <f t="shared" si="7"/>
        <v>0</v>
      </c>
      <c r="AL29" s="309">
        <f t="shared" si="8"/>
        <v>0.6428571428571429</v>
      </c>
      <c r="AM29" s="309">
        <f t="shared" si="9"/>
        <v>0.6551724137931034</v>
      </c>
      <c r="AN29" s="309">
        <f t="shared" si="10"/>
        <v>0.6666666666666666</v>
      </c>
      <c r="AO29" s="309">
        <f t="shared" si="11"/>
        <v>0.6739130434782609</v>
      </c>
      <c r="AP29" s="309">
        <f t="shared" si="12"/>
        <v>0.6808510638297872</v>
      </c>
      <c r="AQ29" s="309">
        <f t="shared" si="13"/>
        <v>0.6875</v>
      </c>
      <c r="AR29" s="309">
        <f t="shared" si="14"/>
        <v>0.6907216494845361</v>
      </c>
      <c r="AS29" s="309">
        <f t="shared" si="15"/>
        <v>0.6938775510204082</v>
      </c>
      <c r="AT29" s="309">
        <f t="shared" si="16"/>
        <v>0.696969696969697</v>
      </c>
      <c r="AU29" s="309">
        <f t="shared" si="17"/>
        <v>0.7</v>
      </c>
      <c r="AV29" s="164">
        <v>11</v>
      </c>
    </row>
    <row r="30" spans="1:48" ht="11.25">
      <c r="A30" s="164">
        <v>12</v>
      </c>
      <c r="M30" s="160">
        <v>55</v>
      </c>
      <c r="N30" s="160">
        <v>58</v>
      </c>
      <c r="O30" s="160">
        <v>60</v>
      </c>
      <c r="P30" s="160">
        <v>62</v>
      </c>
      <c r="Q30" s="160">
        <v>64</v>
      </c>
      <c r="R30" s="160">
        <v>65</v>
      </c>
      <c r="S30" s="160">
        <v>66</v>
      </c>
      <c r="T30" s="160">
        <v>67</v>
      </c>
      <c r="U30" s="160">
        <v>68</v>
      </c>
      <c r="V30" s="164">
        <v>12</v>
      </c>
      <c r="AA30" s="164">
        <v>12</v>
      </c>
      <c r="AC30" s="309">
        <f t="shared" si="18"/>
        <v>0</v>
      </c>
      <c r="AD30" s="309">
        <f t="shared" si="0"/>
        <v>0</v>
      </c>
      <c r="AE30" s="309">
        <f t="shared" si="1"/>
        <v>0</v>
      </c>
      <c r="AF30" s="309">
        <f t="shared" si="2"/>
        <v>0</v>
      </c>
      <c r="AG30" s="309">
        <f t="shared" si="3"/>
        <v>0</v>
      </c>
      <c r="AH30" s="309">
        <f t="shared" si="4"/>
        <v>0</v>
      </c>
      <c r="AI30" s="309">
        <f t="shared" si="5"/>
        <v>0</v>
      </c>
      <c r="AJ30" s="309">
        <f t="shared" si="6"/>
        <v>0</v>
      </c>
      <c r="AK30" s="309">
        <f t="shared" si="7"/>
        <v>0</v>
      </c>
      <c r="AL30" s="309">
        <f t="shared" si="8"/>
        <v>0</v>
      </c>
      <c r="AM30" s="309">
        <f t="shared" si="9"/>
        <v>0.632183908045977</v>
      </c>
      <c r="AN30" s="309">
        <f t="shared" si="10"/>
        <v>0.6444444444444445</v>
      </c>
      <c r="AO30" s="309">
        <f t="shared" si="11"/>
        <v>0.6521739130434783</v>
      </c>
      <c r="AP30" s="309">
        <f t="shared" si="12"/>
        <v>0.6595744680851063</v>
      </c>
      <c r="AQ30" s="309">
        <f t="shared" si="13"/>
        <v>0.6666666666666666</v>
      </c>
      <c r="AR30" s="309">
        <f t="shared" si="14"/>
        <v>0.6701030927835051</v>
      </c>
      <c r="AS30" s="309">
        <f t="shared" si="15"/>
        <v>0.673469387755102</v>
      </c>
      <c r="AT30" s="309">
        <f t="shared" si="16"/>
        <v>0.6767676767676768</v>
      </c>
      <c r="AU30" s="309">
        <f t="shared" si="17"/>
        <v>0.68</v>
      </c>
      <c r="AV30" s="164">
        <v>12</v>
      </c>
    </row>
    <row r="31" spans="1:48" ht="11.25">
      <c r="A31" s="164">
        <v>13</v>
      </c>
      <c r="N31" s="160">
        <v>56</v>
      </c>
      <c r="O31" s="160">
        <v>58</v>
      </c>
      <c r="P31" s="160">
        <v>60</v>
      </c>
      <c r="Q31" s="160">
        <v>62</v>
      </c>
      <c r="R31" s="160">
        <v>63</v>
      </c>
      <c r="S31" s="160">
        <v>64</v>
      </c>
      <c r="T31" s="160">
        <v>65</v>
      </c>
      <c r="U31" s="160">
        <v>66</v>
      </c>
      <c r="V31" s="164">
        <v>13</v>
      </c>
      <c r="AA31" s="164">
        <v>13</v>
      </c>
      <c r="AC31" s="309">
        <f t="shared" si="18"/>
        <v>0</v>
      </c>
      <c r="AD31" s="309">
        <f t="shared" si="0"/>
        <v>0</v>
      </c>
      <c r="AE31" s="309">
        <f t="shared" si="1"/>
        <v>0</v>
      </c>
      <c r="AF31" s="309">
        <f t="shared" si="2"/>
        <v>0</v>
      </c>
      <c r="AG31" s="309">
        <f t="shared" si="3"/>
        <v>0</v>
      </c>
      <c r="AH31" s="309">
        <f t="shared" si="4"/>
        <v>0</v>
      </c>
      <c r="AI31" s="309">
        <f t="shared" si="5"/>
        <v>0</v>
      </c>
      <c r="AJ31" s="309">
        <f t="shared" si="6"/>
        <v>0</v>
      </c>
      <c r="AK31" s="309">
        <f t="shared" si="7"/>
        <v>0</v>
      </c>
      <c r="AL31" s="309">
        <f t="shared" si="8"/>
        <v>0</v>
      </c>
      <c r="AM31" s="309">
        <f t="shared" si="9"/>
        <v>0</v>
      </c>
      <c r="AN31" s="309">
        <f t="shared" si="10"/>
        <v>0.6222222222222222</v>
      </c>
      <c r="AO31" s="309">
        <f t="shared" si="11"/>
        <v>0.6304347826086957</v>
      </c>
      <c r="AP31" s="309">
        <f t="shared" si="12"/>
        <v>0.6382978723404256</v>
      </c>
      <c r="AQ31" s="309">
        <f t="shared" si="13"/>
        <v>0.6458333333333334</v>
      </c>
      <c r="AR31" s="309">
        <f t="shared" si="14"/>
        <v>0.6494845360824743</v>
      </c>
      <c r="AS31" s="309">
        <f t="shared" si="15"/>
        <v>0.6530612244897959</v>
      </c>
      <c r="AT31" s="309">
        <f t="shared" si="16"/>
        <v>0.6565656565656566</v>
      </c>
      <c r="AU31" s="309">
        <f t="shared" si="17"/>
        <v>0.66</v>
      </c>
      <c r="AV31" s="164">
        <v>13</v>
      </c>
    </row>
    <row r="32" spans="1:48" ht="11.25">
      <c r="A32" s="164">
        <v>14</v>
      </c>
      <c r="O32" s="160">
        <v>57</v>
      </c>
      <c r="P32" s="160">
        <v>59</v>
      </c>
      <c r="Q32" s="160">
        <v>61</v>
      </c>
      <c r="R32" s="160">
        <v>62</v>
      </c>
      <c r="S32" s="160">
        <v>63</v>
      </c>
      <c r="T32" s="160">
        <v>64</v>
      </c>
      <c r="U32" s="160">
        <v>65</v>
      </c>
      <c r="V32" s="164">
        <v>14</v>
      </c>
      <c r="AA32" s="164">
        <v>14</v>
      </c>
      <c r="AC32" s="309">
        <f t="shared" si="18"/>
        <v>0</v>
      </c>
      <c r="AD32" s="309">
        <f t="shared" si="0"/>
        <v>0</v>
      </c>
      <c r="AE32" s="309">
        <f t="shared" si="1"/>
        <v>0</v>
      </c>
      <c r="AF32" s="309">
        <f t="shared" si="2"/>
        <v>0</v>
      </c>
      <c r="AG32" s="309">
        <f t="shared" si="3"/>
        <v>0</v>
      </c>
      <c r="AH32" s="309">
        <f t="shared" si="4"/>
        <v>0</v>
      </c>
      <c r="AI32" s="309">
        <f t="shared" si="5"/>
        <v>0</v>
      </c>
      <c r="AJ32" s="309">
        <f t="shared" si="6"/>
        <v>0</v>
      </c>
      <c r="AK32" s="309">
        <f t="shared" si="7"/>
        <v>0</v>
      </c>
      <c r="AL32" s="309">
        <f t="shared" si="8"/>
        <v>0</v>
      </c>
      <c r="AM32" s="309">
        <f t="shared" si="9"/>
        <v>0</v>
      </c>
      <c r="AN32" s="309">
        <f t="shared" si="10"/>
        <v>0</v>
      </c>
      <c r="AO32" s="309">
        <f t="shared" si="11"/>
        <v>0.6195652173913043</v>
      </c>
      <c r="AP32" s="309">
        <f t="shared" si="12"/>
        <v>0.6276595744680851</v>
      </c>
      <c r="AQ32" s="309">
        <f t="shared" si="13"/>
        <v>0.6354166666666666</v>
      </c>
      <c r="AR32" s="309">
        <f t="shared" si="14"/>
        <v>0.6391752577319587</v>
      </c>
      <c r="AS32" s="309">
        <f t="shared" si="15"/>
        <v>0.6428571428571429</v>
      </c>
      <c r="AT32" s="309">
        <f t="shared" si="16"/>
        <v>0.6464646464646465</v>
      </c>
      <c r="AU32" s="309">
        <f t="shared" si="17"/>
        <v>0.65</v>
      </c>
      <c r="AV32" s="164">
        <v>14</v>
      </c>
    </row>
    <row r="33" spans="1:48" ht="11.25">
      <c r="A33" s="164">
        <v>15</v>
      </c>
      <c r="P33" s="160">
        <v>58</v>
      </c>
      <c r="Q33" s="160">
        <v>60</v>
      </c>
      <c r="R33" s="160">
        <v>61</v>
      </c>
      <c r="S33" s="160">
        <v>62</v>
      </c>
      <c r="T33" s="160">
        <v>63</v>
      </c>
      <c r="U33" s="160">
        <v>64</v>
      </c>
      <c r="V33" s="164">
        <v>15</v>
      </c>
      <c r="AA33" s="164">
        <v>15</v>
      </c>
      <c r="AC33" s="309">
        <f t="shared" si="18"/>
        <v>0</v>
      </c>
      <c r="AD33" s="309">
        <f t="shared" si="0"/>
        <v>0</v>
      </c>
      <c r="AE33" s="309">
        <f t="shared" si="1"/>
        <v>0</v>
      </c>
      <c r="AF33" s="309">
        <f t="shared" si="2"/>
        <v>0</v>
      </c>
      <c r="AG33" s="309">
        <f t="shared" si="3"/>
        <v>0</v>
      </c>
      <c r="AH33" s="309">
        <f t="shared" si="4"/>
        <v>0</v>
      </c>
      <c r="AI33" s="309">
        <f t="shared" si="5"/>
        <v>0</v>
      </c>
      <c r="AJ33" s="309">
        <f t="shared" si="6"/>
        <v>0</v>
      </c>
      <c r="AK33" s="309">
        <f t="shared" si="7"/>
        <v>0</v>
      </c>
      <c r="AL33" s="309">
        <f t="shared" si="8"/>
        <v>0</v>
      </c>
      <c r="AM33" s="309">
        <f t="shared" si="9"/>
        <v>0</v>
      </c>
      <c r="AN33" s="309">
        <f t="shared" si="10"/>
        <v>0</v>
      </c>
      <c r="AO33" s="309">
        <f t="shared" si="11"/>
        <v>0</v>
      </c>
      <c r="AP33" s="309">
        <f t="shared" si="12"/>
        <v>0.6170212765957447</v>
      </c>
      <c r="AQ33" s="309">
        <f t="shared" si="13"/>
        <v>0.625</v>
      </c>
      <c r="AR33" s="309">
        <f t="shared" si="14"/>
        <v>0.6288659793814433</v>
      </c>
      <c r="AS33" s="309">
        <f t="shared" si="15"/>
        <v>0.6326530612244898</v>
      </c>
      <c r="AT33" s="309">
        <f t="shared" si="16"/>
        <v>0.6363636363636364</v>
      </c>
      <c r="AU33" s="309">
        <f t="shared" si="17"/>
        <v>0.64</v>
      </c>
      <c r="AV33" s="164">
        <v>15</v>
      </c>
    </row>
    <row r="34" spans="1:48" ht="11.25">
      <c r="A34" s="164">
        <v>16</v>
      </c>
      <c r="Q34" s="160">
        <v>59</v>
      </c>
      <c r="R34" s="160">
        <v>60</v>
      </c>
      <c r="S34" s="160">
        <v>61</v>
      </c>
      <c r="T34" s="160">
        <v>62</v>
      </c>
      <c r="U34" s="160">
        <v>63</v>
      </c>
      <c r="V34" s="164">
        <v>16</v>
      </c>
      <c r="AA34" s="164">
        <v>16</v>
      </c>
      <c r="AC34" s="309">
        <f t="shared" si="18"/>
        <v>0</v>
      </c>
      <c r="AD34" s="309">
        <f t="shared" si="0"/>
        <v>0</v>
      </c>
      <c r="AE34" s="309">
        <f t="shared" si="1"/>
        <v>0</v>
      </c>
      <c r="AF34" s="309">
        <f t="shared" si="2"/>
        <v>0</v>
      </c>
      <c r="AG34" s="309">
        <f t="shared" si="3"/>
        <v>0</v>
      </c>
      <c r="AH34" s="309">
        <f t="shared" si="4"/>
        <v>0</v>
      </c>
      <c r="AI34" s="309">
        <f t="shared" si="5"/>
        <v>0</v>
      </c>
      <c r="AJ34" s="309">
        <f t="shared" si="6"/>
        <v>0</v>
      </c>
      <c r="AK34" s="309">
        <f t="shared" si="7"/>
        <v>0</v>
      </c>
      <c r="AL34" s="309">
        <f t="shared" si="8"/>
        <v>0</v>
      </c>
      <c r="AM34" s="309">
        <f t="shared" si="9"/>
        <v>0</v>
      </c>
      <c r="AN34" s="309">
        <f t="shared" si="10"/>
        <v>0</v>
      </c>
      <c r="AO34" s="309">
        <f t="shared" si="11"/>
        <v>0</v>
      </c>
      <c r="AP34" s="309">
        <f t="shared" si="12"/>
        <v>0</v>
      </c>
      <c r="AQ34" s="309">
        <f t="shared" si="13"/>
        <v>0.6145833333333334</v>
      </c>
      <c r="AR34" s="309">
        <f t="shared" si="14"/>
        <v>0.6185567010309279</v>
      </c>
      <c r="AS34" s="309">
        <f t="shared" si="15"/>
        <v>0.6224489795918368</v>
      </c>
      <c r="AT34" s="309">
        <f t="shared" si="16"/>
        <v>0.6262626262626263</v>
      </c>
      <c r="AU34" s="309">
        <f t="shared" si="17"/>
        <v>0.63</v>
      </c>
      <c r="AV34" s="164">
        <v>16</v>
      </c>
    </row>
    <row r="35" spans="1:48" ht="11.25">
      <c r="A35" s="164">
        <v>17</v>
      </c>
      <c r="R35" s="160">
        <v>59</v>
      </c>
      <c r="S35" s="160">
        <v>60</v>
      </c>
      <c r="T35" s="160">
        <v>61</v>
      </c>
      <c r="U35" s="160">
        <v>62</v>
      </c>
      <c r="V35" s="164">
        <v>17</v>
      </c>
      <c r="AA35" s="164">
        <v>17</v>
      </c>
      <c r="AC35" s="309">
        <f t="shared" si="18"/>
        <v>0</v>
      </c>
      <c r="AD35" s="309">
        <f t="shared" si="0"/>
        <v>0</v>
      </c>
      <c r="AE35" s="309">
        <f t="shared" si="1"/>
        <v>0</v>
      </c>
      <c r="AF35" s="309">
        <f t="shared" si="2"/>
        <v>0</v>
      </c>
      <c r="AG35" s="309">
        <f t="shared" si="3"/>
        <v>0</v>
      </c>
      <c r="AH35" s="309">
        <f t="shared" si="4"/>
        <v>0</v>
      </c>
      <c r="AI35" s="309">
        <f t="shared" si="5"/>
        <v>0</v>
      </c>
      <c r="AJ35" s="309">
        <f t="shared" si="6"/>
        <v>0</v>
      </c>
      <c r="AK35" s="309">
        <f t="shared" si="7"/>
        <v>0</v>
      </c>
      <c r="AL35" s="309">
        <f t="shared" si="8"/>
        <v>0</v>
      </c>
      <c r="AM35" s="309">
        <f t="shared" si="9"/>
        <v>0</v>
      </c>
      <c r="AN35" s="309">
        <f t="shared" si="10"/>
        <v>0</v>
      </c>
      <c r="AO35" s="309">
        <f t="shared" si="11"/>
        <v>0</v>
      </c>
      <c r="AP35" s="309">
        <f t="shared" si="12"/>
        <v>0</v>
      </c>
      <c r="AQ35" s="309">
        <f t="shared" si="13"/>
        <v>0</v>
      </c>
      <c r="AR35" s="309">
        <f t="shared" si="14"/>
        <v>0.6082474226804123</v>
      </c>
      <c r="AS35" s="309">
        <f t="shared" si="15"/>
        <v>0.6122448979591837</v>
      </c>
      <c r="AT35" s="309">
        <f t="shared" si="16"/>
        <v>0.6161616161616161</v>
      </c>
      <c r="AU35" s="309">
        <f t="shared" si="17"/>
        <v>0.62</v>
      </c>
      <c r="AV35" s="164">
        <v>17</v>
      </c>
    </row>
    <row r="36" spans="1:48" ht="11.25">
      <c r="A36" s="164">
        <v>18</v>
      </c>
      <c r="S36" s="160">
        <v>59</v>
      </c>
      <c r="T36" s="160">
        <v>60</v>
      </c>
      <c r="U36" s="160">
        <v>61</v>
      </c>
      <c r="V36" s="164">
        <v>18</v>
      </c>
      <c r="AA36" s="164">
        <v>18</v>
      </c>
      <c r="AC36" s="309">
        <f t="shared" si="18"/>
        <v>0</v>
      </c>
      <c r="AD36" s="309">
        <f t="shared" si="0"/>
        <v>0</v>
      </c>
      <c r="AE36" s="309">
        <f t="shared" si="1"/>
        <v>0</v>
      </c>
      <c r="AF36" s="309">
        <f t="shared" si="2"/>
        <v>0</v>
      </c>
      <c r="AG36" s="309">
        <f t="shared" si="3"/>
        <v>0</v>
      </c>
      <c r="AH36" s="309">
        <f t="shared" si="4"/>
        <v>0</v>
      </c>
      <c r="AI36" s="309">
        <f t="shared" si="5"/>
        <v>0</v>
      </c>
      <c r="AJ36" s="309">
        <f t="shared" si="6"/>
        <v>0</v>
      </c>
      <c r="AK36" s="309">
        <f t="shared" si="7"/>
        <v>0</v>
      </c>
      <c r="AL36" s="309">
        <f t="shared" si="8"/>
        <v>0</v>
      </c>
      <c r="AM36" s="309">
        <f t="shared" si="9"/>
        <v>0</v>
      </c>
      <c r="AN36" s="309">
        <f t="shared" si="10"/>
        <v>0</v>
      </c>
      <c r="AO36" s="309">
        <f t="shared" si="11"/>
        <v>0</v>
      </c>
      <c r="AP36" s="309">
        <f t="shared" si="12"/>
        <v>0</v>
      </c>
      <c r="AQ36" s="309">
        <f t="shared" si="13"/>
        <v>0</v>
      </c>
      <c r="AR36" s="309">
        <f t="shared" si="14"/>
        <v>0</v>
      </c>
      <c r="AS36" s="309">
        <f t="shared" si="15"/>
        <v>0.6020408163265306</v>
      </c>
      <c r="AT36" s="309">
        <f t="shared" si="16"/>
        <v>0.6060606060606061</v>
      </c>
      <c r="AU36" s="309">
        <f t="shared" si="17"/>
        <v>0.61</v>
      </c>
      <c r="AV36" s="164">
        <v>18</v>
      </c>
    </row>
    <row r="37" spans="1:48" ht="11.25">
      <c r="A37" s="164">
        <v>19</v>
      </c>
      <c r="T37" s="160">
        <v>59</v>
      </c>
      <c r="U37" s="160">
        <v>60</v>
      </c>
      <c r="V37" s="164">
        <v>19</v>
      </c>
      <c r="AA37" s="164">
        <v>19</v>
      </c>
      <c r="AC37" s="309">
        <f t="shared" si="18"/>
        <v>0</v>
      </c>
      <c r="AD37" s="309">
        <f t="shared" si="0"/>
        <v>0</v>
      </c>
      <c r="AE37" s="309">
        <f t="shared" si="1"/>
        <v>0</v>
      </c>
      <c r="AF37" s="309">
        <f t="shared" si="2"/>
        <v>0</v>
      </c>
      <c r="AG37" s="309">
        <f t="shared" si="3"/>
        <v>0</v>
      </c>
      <c r="AH37" s="309">
        <f t="shared" si="4"/>
        <v>0</v>
      </c>
      <c r="AI37" s="309">
        <f t="shared" si="5"/>
        <v>0</v>
      </c>
      <c r="AJ37" s="309">
        <f t="shared" si="6"/>
        <v>0</v>
      </c>
      <c r="AK37" s="309">
        <f t="shared" si="7"/>
        <v>0</v>
      </c>
      <c r="AL37" s="309">
        <f t="shared" si="8"/>
        <v>0</v>
      </c>
      <c r="AM37" s="309">
        <f t="shared" si="9"/>
        <v>0</v>
      </c>
      <c r="AN37" s="309">
        <f t="shared" si="10"/>
        <v>0</v>
      </c>
      <c r="AO37" s="309">
        <f t="shared" si="11"/>
        <v>0</v>
      </c>
      <c r="AP37" s="309">
        <f t="shared" si="12"/>
        <v>0</v>
      </c>
      <c r="AQ37" s="309">
        <f t="shared" si="13"/>
        <v>0</v>
      </c>
      <c r="AR37" s="309">
        <f t="shared" si="14"/>
        <v>0</v>
      </c>
      <c r="AS37" s="309">
        <f t="shared" si="15"/>
        <v>0</v>
      </c>
      <c r="AT37" s="309">
        <f t="shared" si="16"/>
        <v>0.5959595959595959</v>
      </c>
      <c r="AU37" s="309">
        <f t="shared" si="17"/>
        <v>0.6</v>
      </c>
      <c r="AV37" s="164">
        <v>19</v>
      </c>
    </row>
    <row r="38" spans="1:48" ht="11.25">
      <c r="A38" s="164">
        <v>20</v>
      </c>
      <c r="U38" s="160">
        <v>59</v>
      </c>
      <c r="V38" s="164">
        <v>20</v>
      </c>
      <c r="AA38" s="164">
        <v>20</v>
      </c>
      <c r="AC38" s="309">
        <f t="shared" si="18"/>
        <v>0</v>
      </c>
      <c r="AD38" s="309">
        <f t="shared" si="0"/>
        <v>0</v>
      </c>
      <c r="AE38" s="309">
        <f t="shared" si="1"/>
        <v>0</v>
      </c>
      <c r="AF38" s="309">
        <f t="shared" si="2"/>
        <v>0</v>
      </c>
      <c r="AG38" s="309">
        <f t="shared" si="3"/>
        <v>0</v>
      </c>
      <c r="AH38" s="309">
        <f t="shared" si="4"/>
        <v>0</v>
      </c>
      <c r="AI38" s="309">
        <f t="shared" si="5"/>
        <v>0</v>
      </c>
      <c r="AJ38" s="309">
        <f t="shared" si="6"/>
        <v>0</v>
      </c>
      <c r="AK38" s="309">
        <f t="shared" si="7"/>
        <v>0</v>
      </c>
      <c r="AL38" s="309">
        <f t="shared" si="8"/>
        <v>0</v>
      </c>
      <c r="AM38" s="309">
        <f t="shared" si="9"/>
        <v>0</v>
      </c>
      <c r="AN38" s="309">
        <f t="shared" si="10"/>
        <v>0</v>
      </c>
      <c r="AO38" s="309">
        <f t="shared" si="11"/>
        <v>0</v>
      </c>
      <c r="AP38" s="309">
        <f t="shared" si="12"/>
        <v>0</v>
      </c>
      <c r="AQ38" s="309">
        <f t="shared" si="13"/>
        <v>0</v>
      </c>
      <c r="AR38" s="309">
        <f t="shared" si="14"/>
        <v>0</v>
      </c>
      <c r="AS38" s="309">
        <f t="shared" si="15"/>
        <v>0</v>
      </c>
      <c r="AT38" s="309">
        <f t="shared" si="16"/>
        <v>0</v>
      </c>
      <c r="AU38" s="309">
        <f t="shared" si="17"/>
        <v>0.59</v>
      </c>
      <c r="AV38" s="164">
        <v>20</v>
      </c>
    </row>
    <row r="39" spans="2:22" ht="11.25">
      <c r="B39" s="165" t="s">
        <v>215</v>
      </c>
      <c r="C39" s="160" t="s">
        <v>216</v>
      </c>
      <c r="U39" s="162" t="s">
        <v>215</v>
      </c>
      <c r="V39" s="162" t="s">
        <v>215</v>
      </c>
    </row>
    <row r="41" ht="11.25">
      <c r="D41" s="160" t="s">
        <v>217</v>
      </c>
    </row>
    <row r="43" spans="1:24" ht="11.25">
      <c r="A43" s="27"/>
      <c r="B43" s="27"/>
      <c r="C43" s="27"/>
      <c r="D43" s="27"/>
      <c r="E43" s="27"/>
      <c r="F43" s="27"/>
      <c r="G43" s="27"/>
      <c r="H43" s="27"/>
      <c r="I43" s="27"/>
      <c r="J43" s="27"/>
      <c r="K43" s="27"/>
      <c r="L43" s="27"/>
      <c r="M43" s="27"/>
      <c r="N43" s="27"/>
      <c r="O43" s="27"/>
      <c r="P43" s="27"/>
      <c r="Q43" s="27"/>
      <c r="R43" s="27"/>
      <c r="S43" s="27"/>
      <c r="T43" s="27"/>
      <c r="U43" s="27"/>
      <c r="V43" s="27"/>
      <c r="W43" s="27"/>
      <c r="X43" s="27"/>
    </row>
    <row r="44" spans="1:24" ht="11.25">
      <c r="A44" s="166"/>
      <c r="B44" s="166">
        <v>1</v>
      </c>
      <c r="C44" s="166">
        <v>2</v>
      </c>
      <c r="D44" s="166">
        <v>3</v>
      </c>
      <c r="E44" s="166">
        <v>4</v>
      </c>
      <c r="F44" s="166">
        <v>5</v>
      </c>
      <c r="G44" s="166">
        <v>6</v>
      </c>
      <c r="H44" s="166">
        <v>7</v>
      </c>
      <c r="I44" s="166">
        <v>8</v>
      </c>
      <c r="J44" s="166">
        <v>9</v>
      </c>
      <c r="K44" s="166">
        <v>10</v>
      </c>
      <c r="L44" s="166">
        <v>11</v>
      </c>
      <c r="M44" s="166">
        <v>12</v>
      </c>
      <c r="N44" s="166">
        <v>13</v>
      </c>
      <c r="O44" s="166">
        <v>14</v>
      </c>
      <c r="P44" s="166">
        <v>15</v>
      </c>
      <c r="Q44" s="166">
        <v>16</v>
      </c>
      <c r="R44" s="166">
        <v>17</v>
      </c>
      <c r="S44" s="166">
        <v>18</v>
      </c>
      <c r="T44" s="166">
        <v>19</v>
      </c>
      <c r="U44" s="166" t="s">
        <v>214</v>
      </c>
      <c r="V44" s="166"/>
      <c r="W44" s="27"/>
      <c r="X44" s="27"/>
    </row>
    <row r="45" spans="1:24" ht="11.25">
      <c r="A45" s="166">
        <v>1</v>
      </c>
      <c r="B45" s="166">
        <v>0</v>
      </c>
      <c r="C45" s="166">
        <v>10</v>
      </c>
      <c r="D45" s="166">
        <v>31</v>
      </c>
      <c r="E45" s="166">
        <v>43</v>
      </c>
      <c r="F45" s="166">
        <v>52</v>
      </c>
      <c r="G45" s="166">
        <v>60</v>
      </c>
      <c r="H45" s="166">
        <v>66</v>
      </c>
      <c r="I45" s="166">
        <v>72</v>
      </c>
      <c r="J45" s="166">
        <v>76</v>
      </c>
      <c r="K45" s="166">
        <v>80</v>
      </c>
      <c r="L45" s="166">
        <v>84</v>
      </c>
      <c r="M45" s="166">
        <v>87</v>
      </c>
      <c r="N45" s="166">
        <v>90</v>
      </c>
      <c r="O45" s="166">
        <v>92</v>
      </c>
      <c r="P45" s="166">
        <v>94</v>
      </c>
      <c r="Q45" s="166">
        <v>96</v>
      </c>
      <c r="R45" s="166">
        <v>97</v>
      </c>
      <c r="S45" s="166">
        <v>98</v>
      </c>
      <c r="T45" s="166">
        <v>99</v>
      </c>
      <c r="U45" s="166">
        <v>100</v>
      </c>
      <c r="V45" s="166">
        <v>1</v>
      </c>
      <c r="W45" s="27"/>
      <c r="X45" s="27"/>
    </row>
    <row r="46" spans="1:24" ht="11.25">
      <c r="A46" s="166">
        <v>2</v>
      </c>
      <c r="B46" s="166"/>
      <c r="C46" s="166">
        <v>4</v>
      </c>
      <c r="D46" s="166">
        <v>25</v>
      </c>
      <c r="E46" s="166">
        <v>37</v>
      </c>
      <c r="F46" s="166">
        <v>46</v>
      </c>
      <c r="G46" s="166">
        <v>54</v>
      </c>
      <c r="H46" s="166">
        <v>60</v>
      </c>
      <c r="I46" s="166">
        <v>66</v>
      </c>
      <c r="J46" s="166">
        <v>70</v>
      </c>
      <c r="K46" s="166">
        <v>74</v>
      </c>
      <c r="L46" s="166">
        <v>78</v>
      </c>
      <c r="M46" s="166">
        <v>81</v>
      </c>
      <c r="N46" s="166">
        <v>84</v>
      </c>
      <c r="O46" s="166">
        <v>86</v>
      </c>
      <c r="P46" s="166">
        <v>88</v>
      </c>
      <c r="Q46" s="166">
        <v>90</v>
      </c>
      <c r="R46" s="166">
        <v>91</v>
      </c>
      <c r="S46" s="166">
        <v>92</v>
      </c>
      <c r="T46" s="166">
        <v>93</v>
      </c>
      <c r="U46" s="166">
        <v>94</v>
      </c>
      <c r="V46" s="166">
        <v>2</v>
      </c>
      <c r="W46" s="27"/>
      <c r="X46" s="27"/>
    </row>
    <row r="47" spans="1:24" ht="11.25">
      <c r="A47" s="166">
        <v>3</v>
      </c>
      <c r="B47" s="166"/>
      <c r="C47" s="166"/>
      <c r="D47" s="166">
        <v>21</v>
      </c>
      <c r="E47" s="166">
        <v>33</v>
      </c>
      <c r="F47" s="166">
        <v>42</v>
      </c>
      <c r="G47" s="166">
        <v>50</v>
      </c>
      <c r="H47" s="166">
        <v>56</v>
      </c>
      <c r="I47" s="166">
        <v>62</v>
      </c>
      <c r="J47" s="166">
        <v>66</v>
      </c>
      <c r="K47" s="166">
        <v>70</v>
      </c>
      <c r="L47" s="166">
        <v>74</v>
      </c>
      <c r="M47" s="166">
        <v>77</v>
      </c>
      <c r="N47" s="166">
        <v>80</v>
      </c>
      <c r="O47" s="166">
        <v>82</v>
      </c>
      <c r="P47" s="166">
        <v>84</v>
      </c>
      <c r="Q47" s="166">
        <v>86</v>
      </c>
      <c r="R47" s="166">
        <v>87</v>
      </c>
      <c r="S47" s="166">
        <v>88</v>
      </c>
      <c r="T47" s="166">
        <v>89</v>
      </c>
      <c r="U47" s="166">
        <v>90</v>
      </c>
      <c r="V47" s="166">
        <v>3</v>
      </c>
      <c r="W47" s="27"/>
      <c r="X47" s="27"/>
    </row>
    <row r="48" spans="1:24" ht="11.25">
      <c r="A48" s="166">
        <v>4</v>
      </c>
      <c r="B48" s="166"/>
      <c r="C48" s="166"/>
      <c r="D48" s="166"/>
      <c r="E48" s="166">
        <v>29</v>
      </c>
      <c r="F48" s="166">
        <v>38</v>
      </c>
      <c r="G48" s="166">
        <v>46</v>
      </c>
      <c r="H48" s="166">
        <v>52</v>
      </c>
      <c r="I48" s="166">
        <v>58</v>
      </c>
      <c r="J48" s="166">
        <v>62</v>
      </c>
      <c r="K48" s="166">
        <v>68</v>
      </c>
      <c r="L48" s="166">
        <v>70</v>
      </c>
      <c r="M48" s="166">
        <v>73</v>
      </c>
      <c r="N48" s="166">
        <v>76</v>
      </c>
      <c r="O48" s="166">
        <v>78</v>
      </c>
      <c r="P48" s="166">
        <v>80</v>
      </c>
      <c r="Q48" s="166">
        <v>82</v>
      </c>
      <c r="R48" s="166">
        <v>83</v>
      </c>
      <c r="S48" s="166">
        <v>84</v>
      </c>
      <c r="T48" s="166">
        <v>85</v>
      </c>
      <c r="U48" s="166">
        <v>86</v>
      </c>
      <c r="V48" s="166">
        <v>4</v>
      </c>
      <c r="W48" s="27"/>
      <c r="X48" s="27"/>
    </row>
    <row r="49" spans="1:24" ht="11.25">
      <c r="A49" s="166">
        <v>5</v>
      </c>
      <c r="B49" s="166"/>
      <c r="C49" s="166"/>
      <c r="D49" s="166"/>
      <c r="E49" s="166"/>
      <c r="F49" s="166">
        <v>35</v>
      </c>
      <c r="G49" s="166">
        <v>43</v>
      </c>
      <c r="H49" s="166">
        <v>49</v>
      </c>
      <c r="I49" s="166">
        <v>55</v>
      </c>
      <c r="J49" s="166">
        <v>59</v>
      </c>
      <c r="K49" s="166">
        <v>63</v>
      </c>
      <c r="L49" s="166">
        <v>67</v>
      </c>
      <c r="M49" s="166">
        <v>70</v>
      </c>
      <c r="N49" s="166">
        <v>73</v>
      </c>
      <c r="O49" s="166">
        <v>75</v>
      </c>
      <c r="P49" s="166">
        <v>77</v>
      </c>
      <c r="Q49" s="166">
        <v>79</v>
      </c>
      <c r="R49" s="166">
        <v>80</v>
      </c>
      <c r="S49" s="166">
        <v>81</v>
      </c>
      <c r="T49" s="166">
        <v>82</v>
      </c>
      <c r="U49" s="166">
        <v>83</v>
      </c>
      <c r="V49" s="166">
        <v>5</v>
      </c>
      <c r="W49" s="27"/>
      <c r="X49" s="27"/>
    </row>
    <row r="50" spans="1:24" ht="11.25">
      <c r="A50" s="166">
        <v>6</v>
      </c>
      <c r="B50" s="166"/>
      <c r="C50" s="166"/>
      <c r="D50" s="166"/>
      <c r="E50" s="166"/>
      <c r="F50" s="166"/>
      <c r="G50" s="166">
        <v>40</v>
      </c>
      <c r="H50" s="166">
        <v>46</v>
      </c>
      <c r="I50" s="166">
        <v>52</v>
      </c>
      <c r="J50" s="166">
        <v>56</v>
      </c>
      <c r="K50" s="166">
        <v>60</v>
      </c>
      <c r="L50" s="166">
        <v>64</v>
      </c>
      <c r="M50" s="166">
        <v>67</v>
      </c>
      <c r="N50" s="166">
        <v>70</v>
      </c>
      <c r="O50" s="166">
        <v>72</v>
      </c>
      <c r="P50" s="166">
        <v>74</v>
      </c>
      <c r="Q50" s="166">
        <v>76</v>
      </c>
      <c r="R50" s="166">
        <v>77</v>
      </c>
      <c r="S50" s="166">
        <v>78</v>
      </c>
      <c r="T50" s="166">
        <v>79</v>
      </c>
      <c r="U50" s="166">
        <v>80</v>
      </c>
      <c r="V50" s="166">
        <v>6</v>
      </c>
      <c r="W50" s="27"/>
      <c r="X50" s="27"/>
    </row>
    <row r="51" spans="1:24" s="167" customFormat="1" ht="11.25">
      <c r="A51" s="166">
        <v>7</v>
      </c>
      <c r="B51" s="166"/>
      <c r="C51" s="166"/>
      <c r="D51" s="166"/>
      <c r="E51" s="166"/>
      <c r="F51" s="166"/>
      <c r="G51" s="166"/>
      <c r="H51" s="166">
        <v>44</v>
      </c>
      <c r="I51" s="166">
        <v>50</v>
      </c>
      <c r="J51" s="166">
        <v>54</v>
      </c>
      <c r="K51" s="166">
        <v>58</v>
      </c>
      <c r="L51" s="166">
        <v>62</v>
      </c>
      <c r="M51" s="166">
        <v>65</v>
      </c>
      <c r="N51" s="166">
        <v>68</v>
      </c>
      <c r="O51" s="166">
        <v>70</v>
      </c>
      <c r="P51" s="166">
        <v>72</v>
      </c>
      <c r="Q51" s="166">
        <v>74</v>
      </c>
      <c r="R51" s="166">
        <v>75</v>
      </c>
      <c r="S51" s="166">
        <v>76</v>
      </c>
      <c r="T51" s="166">
        <v>77</v>
      </c>
      <c r="U51" s="166">
        <v>78</v>
      </c>
      <c r="V51" s="166">
        <v>7</v>
      </c>
      <c r="W51" s="72"/>
      <c r="X51" s="72"/>
    </row>
    <row r="52" spans="1:24" ht="11.25">
      <c r="A52" s="166">
        <v>8</v>
      </c>
      <c r="B52" s="166"/>
      <c r="C52" s="166"/>
      <c r="D52" s="166"/>
      <c r="E52" s="166"/>
      <c r="F52" s="166"/>
      <c r="G52" s="166"/>
      <c r="H52" s="166"/>
      <c r="I52" s="166">
        <v>48</v>
      </c>
      <c r="J52" s="166">
        <v>52</v>
      </c>
      <c r="K52" s="166">
        <v>56</v>
      </c>
      <c r="L52" s="166">
        <v>60</v>
      </c>
      <c r="M52" s="166">
        <v>63</v>
      </c>
      <c r="N52" s="166">
        <v>66</v>
      </c>
      <c r="O52" s="166">
        <v>68</v>
      </c>
      <c r="P52" s="166">
        <v>70</v>
      </c>
      <c r="Q52" s="166">
        <v>72</v>
      </c>
      <c r="R52" s="166">
        <v>73</v>
      </c>
      <c r="S52" s="166">
        <v>74</v>
      </c>
      <c r="T52" s="166">
        <v>75</v>
      </c>
      <c r="U52" s="166">
        <v>76</v>
      </c>
      <c r="V52" s="166">
        <v>8</v>
      </c>
      <c r="W52" s="27"/>
      <c r="X52" s="27"/>
    </row>
    <row r="53" spans="1:24" ht="11.25">
      <c r="A53" s="166">
        <v>9</v>
      </c>
      <c r="B53" s="166"/>
      <c r="C53" s="166"/>
      <c r="D53" s="166"/>
      <c r="E53" s="166"/>
      <c r="F53" s="166"/>
      <c r="G53" s="166"/>
      <c r="H53" s="166"/>
      <c r="I53" s="166"/>
      <c r="J53" s="166">
        <v>50</v>
      </c>
      <c r="K53" s="166">
        <v>54</v>
      </c>
      <c r="L53" s="166">
        <v>58</v>
      </c>
      <c r="M53" s="166">
        <v>61</v>
      </c>
      <c r="N53" s="166">
        <v>64</v>
      </c>
      <c r="O53" s="166">
        <v>66</v>
      </c>
      <c r="P53" s="166">
        <v>68</v>
      </c>
      <c r="Q53" s="166">
        <v>70</v>
      </c>
      <c r="R53" s="166">
        <v>71</v>
      </c>
      <c r="S53" s="166">
        <v>72</v>
      </c>
      <c r="T53" s="166">
        <v>73</v>
      </c>
      <c r="U53" s="166">
        <v>74</v>
      </c>
      <c r="V53" s="166">
        <v>9</v>
      </c>
      <c r="W53" s="27"/>
      <c r="X53" s="27"/>
    </row>
    <row r="54" spans="1:24" ht="11.25">
      <c r="A54" s="166">
        <v>10</v>
      </c>
      <c r="B54" s="166"/>
      <c r="C54" s="166"/>
      <c r="D54" s="166"/>
      <c r="E54" s="166"/>
      <c r="F54" s="166"/>
      <c r="G54" s="166"/>
      <c r="H54" s="166"/>
      <c r="I54" s="166"/>
      <c r="J54" s="166"/>
      <c r="K54" s="166">
        <v>52</v>
      </c>
      <c r="L54" s="166">
        <v>56</v>
      </c>
      <c r="M54" s="166">
        <v>59</v>
      </c>
      <c r="N54" s="166">
        <v>62</v>
      </c>
      <c r="O54" s="166">
        <v>64</v>
      </c>
      <c r="P54" s="166">
        <v>66</v>
      </c>
      <c r="Q54" s="166">
        <v>68</v>
      </c>
      <c r="R54" s="166">
        <v>69</v>
      </c>
      <c r="S54" s="166">
        <v>70</v>
      </c>
      <c r="T54" s="166">
        <v>71</v>
      </c>
      <c r="U54" s="166">
        <v>72</v>
      </c>
      <c r="V54" s="166">
        <v>10</v>
      </c>
      <c r="W54" s="27"/>
      <c r="X54" s="27"/>
    </row>
    <row r="55" spans="1:24" ht="11.25">
      <c r="A55" s="166">
        <v>11</v>
      </c>
      <c r="B55" s="166"/>
      <c r="C55" s="166"/>
      <c r="D55" s="166"/>
      <c r="E55" s="166"/>
      <c r="F55" s="166"/>
      <c r="G55" s="166"/>
      <c r="H55" s="166"/>
      <c r="I55" s="166"/>
      <c r="J55" s="166"/>
      <c r="K55" s="166"/>
      <c r="L55" s="166">
        <v>54</v>
      </c>
      <c r="M55" s="166">
        <v>57</v>
      </c>
      <c r="N55" s="166">
        <v>60</v>
      </c>
      <c r="O55" s="166">
        <v>62</v>
      </c>
      <c r="P55" s="166">
        <v>64</v>
      </c>
      <c r="Q55" s="166">
        <v>66</v>
      </c>
      <c r="R55" s="166">
        <v>67</v>
      </c>
      <c r="S55" s="166">
        <v>68</v>
      </c>
      <c r="T55" s="166">
        <v>69</v>
      </c>
      <c r="U55" s="166">
        <v>70</v>
      </c>
      <c r="V55" s="166">
        <v>11</v>
      </c>
      <c r="W55" s="27"/>
      <c r="X55" s="27"/>
    </row>
    <row r="56" spans="1:24" ht="11.25">
      <c r="A56" s="166">
        <v>12</v>
      </c>
      <c r="B56" s="166"/>
      <c r="C56" s="166"/>
      <c r="D56" s="166"/>
      <c r="E56" s="166"/>
      <c r="F56" s="166"/>
      <c r="G56" s="166"/>
      <c r="H56" s="166"/>
      <c r="I56" s="166"/>
      <c r="J56" s="166"/>
      <c r="K56" s="166"/>
      <c r="L56" s="166"/>
      <c r="M56" s="166">
        <v>55</v>
      </c>
      <c r="N56" s="166">
        <v>58</v>
      </c>
      <c r="O56" s="166">
        <v>60</v>
      </c>
      <c r="P56" s="166">
        <v>62</v>
      </c>
      <c r="Q56" s="166">
        <v>64</v>
      </c>
      <c r="R56" s="166">
        <v>65</v>
      </c>
      <c r="S56" s="166">
        <v>66</v>
      </c>
      <c r="T56" s="166">
        <v>67</v>
      </c>
      <c r="U56" s="166">
        <v>68</v>
      </c>
      <c r="V56" s="166">
        <v>12</v>
      </c>
      <c r="W56" s="27"/>
      <c r="X56" s="27"/>
    </row>
    <row r="57" spans="1:24" ht="11.25">
      <c r="A57" s="166">
        <v>13</v>
      </c>
      <c r="B57" s="166"/>
      <c r="C57" s="166"/>
      <c r="D57" s="166"/>
      <c r="E57" s="166"/>
      <c r="F57" s="166"/>
      <c r="G57" s="166"/>
      <c r="H57" s="166"/>
      <c r="I57" s="166"/>
      <c r="J57" s="166"/>
      <c r="K57" s="166"/>
      <c r="L57" s="166"/>
      <c r="M57" s="166"/>
      <c r="N57" s="166">
        <v>56</v>
      </c>
      <c r="O57" s="166">
        <v>58</v>
      </c>
      <c r="P57" s="166">
        <v>60</v>
      </c>
      <c r="Q57" s="166">
        <v>62</v>
      </c>
      <c r="R57" s="166">
        <v>63</v>
      </c>
      <c r="S57" s="166">
        <v>64</v>
      </c>
      <c r="T57" s="166">
        <v>65</v>
      </c>
      <c r="U57" s="166">
        <v>66</v>
      </c>
      <c r="V57" s="166">
        <v>13</v>
      </c>
      <c r="W57" s="27"/>
      <c r="X57" s="27"/>
    </row>
    <row r="58" spans="1:24" ht="11.25">
      <c r="A58" s="166">
        <v>14</v>
      </c>
      <c r="B58" s="166"/>
      <c r="C58" s="166"/>
      <c r="D58" s="166"/>
      <c r="E58" s="166"/>
      <c r="F58" s="166"/>
      <c r="G58" s="166"/>
      <c r="H58" s="166"/>
      <c r="I58" s="166"/>
      <c r="J58" s="166"/>
      <c r="K58" s="166"/>
      <c r="L58" s="166"/>
      <c r="M58" s="166"/>
      <c r="N58" s="166"/>
      <c r="O58" s="166">
        <v>57</v>
      </c>
      <c r="P58" s="166">
        <v>59</v>
      </c>
      <c r="Q58" s="166">
        <v>61</v>
      </c>
      <c r="R58" s="166">
        <v>62</v>
      </c>
      <c r="S58" s="166">
        <v>63</v>
      </c>
      <c r="T58" s="166">
        <v>64</v>
      </c>
      <c r="U58" s="166">
        <v>65</v>
      </c>
      <c r="V58" s="166">
        <v>14</v>
      </c>
      <c r="W58" s="27"/>
      <c r="X58" s="27"/>
    </row>
    <row r="59" spans="1:24" ht="11.25">
      <c r="A59" s="166">
        <v>15</v>
      </c>
      <c r="B59" s="166"/>
      <c r="C59" s="166"/>
      <c r="D59" s="166"/>
      <c r="E59" s="166"/>
      <c r="F59" s="166"/>
      <c r="G59" s="166"/>
      <c r="H59" s="166"/>
      <c r="I59" s="166"/>
      <c r="J59" s="166"/>
      <c r="K59" s="166"/>
      <c r="L59" s="166"/>
      <c r="M59" s="166"/>
      <c r="N59" s="166"/>
      <c r="O59" s="166"/>
      <c r="P59" s="166">
        <v>58</v>
      </c>
      <c r="Q59" s="166">
        <v>60</v>
      </c>
      <c r="R59" s="166">
        <v>61</v>
      </c>
      <c r="S59" s="166">
        <v>62</v>
      </c>
      <c r="T59" s="166">
        <v>63</v>
      </c>
      <c r="U59" s="166">
        <v>64</v>
      </c>
      <c r="V59" s="166">
        <v>15</v>
      </c>
      <c r="W59" s="27"/>
      <c r="X59" s="27"/>
    </row>
    <row r="60" spans="1:24" ht="11.25">
      <c r="A60" s="166">
        <v>16</v>
      </c>
      <c r="B60" s="166"/>
      <c r="C60" s="166"/>
      <c r="D60" s="166"/>
      <c r="E60" s="166"/>
      <c r="F60" s="166"/>
      <c r="G60" s="166"/>
      <c r="H60" s="166"/>
      <c r="I60" s="166"/>
      <c r="J60" s="166"/>
      <c r="K60" s="166"/>
      <c r="L60" s="166"/>
      <c r="M60" s="166"/>
      <c r="N60" s="166"/>
      <c r="O60" s="166"/>
      <c r="P60" s="166"/>
      <c r="Q60" s="166">
        <v>59</v>
      </c>
      <c r="R60" s="166">
        <v>60</v>
      </c>
      <c r="S60" s="166">
        <v>61</v>
      </c>
      <c r="T60" s="166">
        <v>62</v>
      </c>
      <c r="U60" s="166">
        <v>63</v>
      </c>
      <c r="V60" s="166">
        <v>16</v>
      </c>
      <c r="W60" s="27"/>
      <c r="X60" s="27"/>
    </row>
    <row r="61" spans="1:24" ht="11.25">
      <c r="A61" s="166">
        <v>17</v>
      </c>
      <c r="B61" s="166"/>
      <c r="C61" s="166"/>
      <c r="D61" s="166"/>
      <c r="E61" s="166"/>
      <c r="F61" s="166"/>
      <c r="G61" s="166"/>
      <c r="H61" s="166"/>
      <c r="I61" s="166"/>
      <c r="J61" s="166"/>
      <c r="K61" s="166"/>
      <c r="L61" s="166"/>
      <c r="M61" s="166"/>
      <c r="N61" s="166"/>
      <c r="O61" s="166"/>
      <c r="P61" s="166"/>
      <c r="Q61" s="166"/>
      <c r="R61" s="166">
        <v>59</v>
      </c>
      <c r="S61" s="166">
        <v>60</v>
      </c>
      <c r="T61" s="166">
        <v>61</v>
      </c>
      <c r="U61" s="166">
        <v>62</v>
      </c>
      <c r="V61" s="166">
        <v>17</v>
      </c>
      <c r="W61" s="27"/>
      <c r="X61" s="27"/>
    </row>
    <row r="62" spans="1:24" ht="11.25">
      <c r="A62" s="166">
        <v>18</v>
      </c>
      <c r="B62" s="166"/>
      <c r="C62" s="166"/>
      <c r="D62" s="166"/>
      <c r="E62" s="166"/>
      <c r="F62" s="166"/>
      <c r="G62" s="166"/>
      <c r="H62" s="166"/>
      <c r="I62" s="166"/>
      <c r="J62" s="166"/>
      <c r="K62" s="166"/>
      <c r="L62" s="166"/>
      <c r="M62" s="166"/>
      <c r="N62" s="166"/>
      <c r="O62" s="166"/>
      <c r="P62" s="166"/>
      <c r="Q62" s="166"/>
      <c r="R62" s="166"/>
      <c r="S62" s="166">
        <v>59</v>
      </c>
      <c r="T62" s="166">
        <v>60</v>
      </c>
      <c r="U62" s="166">
        <v>61</v>
      </c>
      <c r="V62" s="166">
        <v>18</v>
      </c>
      <c r="W62" s="27"/>
      <c r="X62" s="27"/>
    </row>
    <row r="63" spans="1:24" ht="11.25">
      <c r="A63" s="166">
        <v>19</v>
      </c>
      <c r="B63" s="166"/>
      <c r="C63" s="166"/>
      <c r="D63" s="166"/>
      <c r="E63" s="166"/>
      <c r="F63" s="166"/>
      <c r="G63" s="166"/>
      <c r="H63" s="166"/>
      <c r="I63" s="166"/>
      <c r="J63" s="166"/>
      <c r="K63" s="166"/>
      <c r="L63" s="166"/>
      <c r="M63" s="166"/>
      <c r="N63" s="166"/>
      <c r="O63" s="166"/>
      <c r="P63" s="166"/>
      <c r="Q63" s="166"/>
      <c r="R63" s="166"/>
      <c r="S63" s="166"/>
      <c r="T63" s="166">
        <v>59</v>
      </c>
      <c r="U63" s="166">
        <v>60</v>
      </c>
      <c r="V63" s="166">
        <v>19</v>
      </c>
      <c r="W63" s="27"/>
      <c r="X63" s="27"/>
    </row>
    <row r="64" spans="1:24" ht="11.25">
      <c r="A64" s="166">
        <v>20</v>
      </c>
      <c r="B64" s="166"/>
      <c r="C64" s="166"/>
      <c r="D64" s="166"/>
      <c r="E64" s="166"/>
      <c r="F64" s="166"/>
      <c r="G64" s="166"/>
      <c r="H64" s="166"/>
      <c r="I64" s="166"/>
      <c r="J64" s="166"/>
      <c r="K64" s="166"/>
      <c r="L64" s="166"/>
      <c r="M64" s="166"/>
      <c r="N64" s="166"/>
      <c r="O64" s="166"/>
      <c r="P64" s="166"/>
      <c r="Q64" s="166"/>
      <c r="R64" s="166"/>
      <c r="S64" s="166"/>
      <c r="T64" s="166"/>
      <c r="U64" s="166">
        <v>59</v>
      </c>
      <c r="V64" s="166">
        <v>20</v>
      </c>
      <c r="W64" s="27"/>
      <c r="X64" s="27"/>
    </row>
    <row r="65" spans="1:24" ht="11.25">
      <c r="A65" s="166"/>
      <c r="B65" s="168" t="s">
        <v>215</v>
      </c>
      <c r="C65" s="166" t="s">
        <v>216</v>
      </c>
      <c r="D65" s="166"/>
      <c r="E65" s="166"/>
      <c r="F65" s="166"/>
      <c r="G65" s="166"/>
      <c r="H65" s="166"/>
      <c r="I65" s="166"/>
      <c r="J65" s="166"/>
      <c r="K65" s="166"/>
      <c r="L65" s="166"/>
      <c r="M65" s="166"/>
      <c r="N65" s="166"/>
      <c r="O65" s="166"/>
      <c r="P65" s="166"/>
      <c r="Q65" s="166"/>
      <c r="R65" s="166"/>
      <c r="S65" s="166"/>
      <c r="T65" s="166"/>
      <c r="U65" s="169" t="s">
        <v>215</v>
      </c>
      <c r="V65" s="169" t="s">
        <v>215</v>
      </c>
      <c r="W65" s="27"/>
      <c r="X65" s="27"/>
    </row>
    <row r="66" spans="1:24" ht="11.25">
      <c r="A66" s="166"/>
      <c r="B66" s="166"/>
      <c r="C66" s="166"/>
      <c r="D66" s="166"/>
      <c r="E66" s="166"/>
      <c r="F66" s="166"/>
      <c r="G66" s="166"/>
      <c r="H66" s="166"/>
      <c r="I66" s="166"/>
      <c r="J66" s="166"/>
      <c r="K66" s="166"/>
      <c r="L66" s="166"/>
      <c r="M66" s="166"/>
      <c r="N66" s="166"/>
      <c r="O66" s="166"/>
      <c r="P66" s="166"/>
      <c r="Q66" s="166"/>
      <c r="R66" s="166"/>
      <c r="S66" s="166"/>
      <c r="T66" s="166"/>
      <c r="U66" s="166"/>
      <c r="V66" s="166"/>
      <c r="W66" s="27"/>
      <c r="X66" s="27"/>
    </row>
    <row r="67" spans="1:24" ht="11.25">
      <c r="A67" s="166"/>
      <c r="B67" s="166"/>
      <c r="C67" s="166"/>
      <c r="D67" s="166" t="s">
        <v>217</v>
      </c>
      <c r="E67" s="166"/>
      <c r="F67" s="166"/>
      <c r="G67" s="166"/>
      <c r="H67" s="166"/>
      <c r="I67" s="166"/>
      <c r="J67" s="166"/>
      <c r="K67" s="166"/>
      <c r="L67" s="166"/>
      <c r="M67" s="166"/>
      <c r="N67" s="166"/>
      <c r="O67" s="166"/>
      <c r="P67" s="166"/>
      <c r="Q67" s="166"/>
      <c r="R67" s="166"/>
      <c r="S67" s="166"/>
      <c r="T67" s="166"/>
      <c r="U67" s="166"/>
      <c r="V67" s="166"/>
      <c r="W67" s="27"/>
      <c r="X67" s="27"/>
    </row>
    <row r="68" spans="1:24" ht="11.25">
      <c r="A68" s="27"/>
      <c r="B68" s="27"/>
      <c r="C68" s="27"/>
      <c r="D68" s="27"/>
      <c r="E68" s="27"/>
      <c r="F68" s="27"/>
      <c r="G68" s="27"/>
      <c r="H68" s="27"/>
      <c r="I68" s="27"/>
      <c r="J68" s="27"/>
      <c r="K68" s="27"/>
      <c r="L68" s="27"/>
      <c r="M68" s="27"/>
      <c r="N68" s="27"/>
      <c r="O68" s="27"/>
      <c r="P68" s="27"/>
      <c r="Q68" s="27"/>
      <c r="R68" s="27"/>
      <c r="S68" s="27"/>
      <c r="T68" s="27"/>
      <c r="U68" s="27"/>
      <c r="V68" s="27"/>
      <c r="W68" s="27"/>
      <c r="X68" s="27"/>
    </row>
    <row r="69" spans="1:24" ht="11.25">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24" ht="11.25">
      <c r="A70" s="27"/>
      <c r="B70" s="27"/>
      <c r="C70" s="27"/>
      <c r="D70" s="27"/>
      <c r="E70" s="27"/>
      <c r="F70" s="27"/>
      <c r="G70" s="27"/>
      <c r="H70" s="27"/>
      <c r="I70" s="27"/>
      <c r="J70" s="27"/>
      <c r="K70" s="27"/>
      <c r="L70" s="27"/>
      <c r="M70" s="27"/>
      <c r="N70" s="27"/>
      <c r="O70" s="27"/>
      <c r="P70" s="27"/>
      <c r="Q70" s="27"/>
      <c r="R70" s="27"/>
      <c r="S70" s="27"/>
      <c r="T70" s="27"/>
      <c r="U70" s="27"/>
      <c r="V70" s="27"/>
      <c r="W70" s="27"/>
      <c r="X70" s="27"/>
    </row>
    <row r="71" spans="1:24" ht="11.25">
      <c r="A71" s="27"/>
      <c r="B71" s="27"/>
      <c r="C71" s="27"/>
      <c r="D71" s="27"/>
      <c r="E71" s="27"/>
      <c r="F71" s="27"/>
      <c r="G71" s="27"/>
      <c r="H71" s="27"/>
      <c r="I71" s="27"/>
      <c r="J71" s="27"/>
      <c r="K71" s="27"/>
      <c r="L71" s="27"/>
      <c r="M71" s="27"/>
      <c r="N71" s="27"/>
      <c r="O71" s="27"/>
      <c r="P71" s="27"/>
      <c r="Q71" s="27"/>
      <c r="R71" s="27"/>
      <c r="S71" s="27"/>
      <c r="T71" s="27"/>
      <c r="U71" s="27"/>
      <c r="V71" s="27"/>
      <c r="W71" s="27"/>
      <c r="X71" s="27"/>
    </row>
    <row r="72" spans="1:24" ht="11.25">
      <c r="A72" s="27"/>
      <c r="B72" s="27"/>
      <c r="C72" s="27"/>
      <c r="D72" s="27"/>
      <c r="E72" s="27"/>
      <c r="F72" s="27"/>
      <c r="G72" s="27"/>
      <c r="H72" s="27"/>
      <c r="I72" s="27"/>
      <c r="J72" s="27"/>
      <c r="K72" s="27"/>
      <c r="L72" s="27"/>
      <c r="M72" s="27"/>
      <c r="N72" s="27"/>
      <c r="O72" s="27"/>
      <c r="P72" s="27"/>
      <c r="Q72" s="27"/>
      <c r="R72" s="27"/>
      <c r="S72" s="27"/>
      <c r="T72" s="27"/>
      <c r="U72" s="27"/>
      <c r="V72" s="27"/>
      <c r="W72" s="27"/>
      <c r="X72" s="27"/>
    </row>
    <row r="73" spans="1:24" ht="11.25">
      <c r="A73" s="27"/>
      <c r="B73" s="27"/>
      <c r="C73" s="27"/>
      <c r="D73" s="27"/>
      <c r="E73" s="27"/>
      <c r="F73" s="27"/>
      <c r="G73" s="27"/>
      <c r="H73" s="27"/>
      <c r="I73" s="27"/>
      <c r="J73" s="27"/>
      <c r="K73" s="27"/>
      <c r="L73" s="27"/>
      <c r="M73" s="27"/>
      <c r="N73" s="27"/>
      <c r="O73" s="27"/>
      <c r="P73" s="27"/>
      <c r="Q73" s="27"/>
      <c r="R73" s="27"/>
      <c r="S73" s="27"/>
      <c r="T73" s="27"/>
      <c r="U73" s="27"/>
      <c r="V73" s="27"/>
      <c r="W73" s="27"/>
      <c r="X73" s="27"/>
    </row>
    <row r="74" spans="1:24" ht="11.25">
      <c r="A74" s="27"/>
      <c r="B74" s="27"/>
      <c r="C74" s="27"/>
      <c r="D74" s="27"/>
      <c r="E74" s="27"/>
      <c r="F74" s="27"/>
      <c r="G74" s="27"/>
      <c r="H74" s="27"/>
      <c r="I74" s="27"/>
      <c r="J74" s="27"/>
      <c r="K74" s="27"/>
      <c r="L74" s="27"/>
      <c r="M74" s="27"/>
      <c r="N74" s="27"/>
      <c r="O74" s="27"/>
      <c r="P74" s="27"/>
      <c r="Q74" s="27"/>
      <c r="R74" s="27"/>
      <c r="S74" s="27"/>
      <c r="T74" s="27"/>
      <c r="U74" s="27"/>
      <c r="V74" s="27"/>
      <c r="W74" s="27"/>
      <c r="X74" s="27"/>
    </row>
    <row r="75" spans="1:24" ht="11.25">
      <c r="A75" s="27"/>
      <c r="B75" s="27"/>
      <c r="C75" s="27"/>
      <c r="D75" s="27"/>
      <c r="E75" s="27"/>
      <c r="F75" s="27"/>
      <c r="G75" s="27"/>
      <c r="H75" s="27"/>
      <c r="I75" s="27"/>
      <c r="J75" s="27"/>
      <c r="K75" s="27"/>
      <c r="L75" s="27"/>
      <c r="M75" s="27"/>
      <c r="N75" s="27"/>
      <c r="O75" s="27"/>
      <c r="P75" s="27"/>
      <c r="Q75" s="27"/>
      <c r="R75" s="27"/>
      <c r="S75" s="27"/>
      <c r="T75" s="27"/>
      <c r="U75" s="27"/>
      <c r="V75" s="27"/>
      <c r="W75" s="27"/>
      <c r="X75" s="27"/>
    </row>
    <row r="76" spans="1:24" ht="11.25">
      <c r="A76" s="27"/>
      <c r="B76" s="27"/>
      <c r="C76" s="27"/>
      <c r="D76" s="27"/>
      <c r="E76" s="27"/>
      <c r="F76" s="27"/>
      <c r="G76" s="27"/>
      <c r="H76" s="27"/>
      <c r="I76" s="27"/>
      <c r="J76" s="27"/>
      <c r="K76" s="27"/>
      <c r="L76" s="27"/>
      <c r="M76" s="27"/>
      <c r="N76" s="27"/>
      <c r="O76" s="27"/>
      <c r="P76" s="27"/>
      <c r="Q76" s="27"/>
      <c r="R76" s="27"/>
      <c r="S76" s="27"/>
      <c r="T76" s="27"/>
      <c r="U76" s="27"/>
      <c r="V76" s="27"/>
      <c r="W76" s="27"/>
      <c r="X76" s="27"/>
    </row>
    <row r="77" spans="1:24" ht="11.25">
      <c r="A77" s="27"/>
      <c r="B77" s="27"/>
      <c r="C77" s="27"/>
      <c r="D77" s="27"/>
      <c r="E77" s="27"/>
      <c r="F77" s="27"/>
      <c r="G77" s="27"/>
      <c r="H77" s="27"/>
      <c r="I77" s="27"/>
      <c r="J77" s="27"/>
      <c r="K77" s="27"/>
      <c r="L77" s="27"/>
      <c r="M77" s="27"/>
      <c r="N77" s="27"/>
      <c r="O77" s="27"/>
      <c r="P77" s="27"/>
      <c r="Q77" s="27"/>
      <c r="R77" s="27"/>
      <c r="S77" s="27"/>
      <c r="T77" s="27"/>
      <c r="U77" s="27"/>
      <c r="V77" s="27"/>
      <c r="W77" s="27"/>
      <c r="X77" s="27"/>
    </row>
    <row r="78" spans="1:24" ht="11.25">
      <c r="A78" s="27"/>
      <c r="B78" s="27"/>
      <c r="C78" s="27"/>
      <c r="D78" s="27"/>
      <c r="E78" s="27"/>
      <c r="F78" s="27"/>
      <c r="G78" s="27"/>
      <c r="H78" s="27"/>
      <c r="I78" s="27"/>
      <c r="J78" s="27"/>
      <c r="K78" s="27"/>
      <c r="L78" s="27"/>
      <c r="M78" s="27"/>
      <c r="N78" s="27"/>
      <c r="O78" s="27"/>
      <c r="P78" s="27"/>
      <c r="Q78" s="27"/>
      <c r="R78" s="27"/>
      <c r="S78" s="27"/>
      <c r="T78" s="27"/>
      <c r="U78" s="27"/>
      <c r="V78" s="27"/>
      <c r="W78" s="27"/>
      <c r="X78" s="27"/>
    </row>
    <row r="79" spans="1:24" ht="11.25">
      <c r="A79" s="27"/>
      <c r="B79" s="27"/>
      <c r="C79" s="27"/>
      <c r="D79" s="27"/>
      <c r="E79" s="27"/>
      <c r="F79" s="27"/>
      <c r="G79" s="27"/>
      <c r="H79" s="27"/>
      <c r="I79" s="27"/>
      <c r="J79" s="27"/>
      <c r="K79" s="27"/>
      <c r="L79" s="27"/>
      <c r="M79" s="27"/>
      <c r="N79" s="27"/>
      <c r="O79" s="27"/>
      <c r="P79" s="27"/>
      <c r="Q79" s="27"/>
      <c r="R79" s="27"/>
      <c r="S79" s="27"/>
      <c r="T79" s="27"/>
      <c r="U79" s="27"/>
      <c r="V79" s="27"/>
      <c r="W79" s="27"/>
      <c r="X79" s="27"/>
    </row>
    <row r="80" spans="1:24" ht="11.25">
      <c r="A80" s="27"/>
      <c r="B80" s="27"/>
      <c r="C80" s="27"/>
      <c r="D80" s="27"/>
      <c r="E80" s="27"/>
      <c r="F80" s="27"/>
      <c r="G80" s="27"/>
      <c r="H80" s="27"/>
      <c r="I80" s="27"/>
      <c r="J80" s="27"/>
      <c r="K80" s="27"/>
      <c r="L80" s="27"/>
      <c r="M80" s="27"/>
      <c r="N80" s="27"/>
      <c r="O80" s="27"/>
      <c r="P80" s="27"/>
      <c r="Q80" s="27"/>
      <c r="R80" s="27"/>
      <c r="S80" s="27"/>
      <c r="T80" s="27"/>
      <c r="U80" s="27"/>
      <c r="V80" s="27"/>
      <c r="W80" s="27"/>
      <c r="X80" s="27"/>
    </row>
    <row r="81" spans="1:24" ht="11.25">
      <c r="A81" s="27"/>
      <c r="B81" s="27"/>
      <c r="C81" s="27"/>
      <c r="D81" s="27"/>
      <c r="E81" s="27"/>
      <c r="F81" s="27"/>
      <c r="G81" s="27"/>
      <c r="H81" s="27"/>
      <c r="I81" s="27"/>
      <c r="J81" s="27"/>
      <c r="K81" s="27"/>
      <c r="L81" s="27"/>
      <c r="M81" s="27"/>
      <c r="N81" s="27"/>
      <c r="O81" s="27"/>
      <c r="P81" s="27"/>
      <c r="Q81" s="27"/>
      <c r="R81" s="27"/>
      <c r="S81" s="27"/>
      <c r="T81" s="27"/>
      <c r="U81" s="27"/>
      <c r="V81" s="27"/>
      <c r="W81" s="27"/>
      <c r="X81" s="27"/>
    </row>
    <row r="82" spans="1:24" ht="11.25">
      <c r="A82" s="27"/>
      <c r="B82" s="27"/>
      <c r="C82" s="27"/>
      <c r="D82" s="27"/>
      <c r="E82" s="27"/>
      <c r="F82" s="27"/>
      <c r="G82" s="27"/>
      <c r="H82" s="27"/>
      <c r="I82" s="27"/>
      <c r="J82" s="27"/>
      <c r="K82" s="27"/>
      <c r="L82" s="27"/>
      <c r="M82" s="27"/>
      <c r="N82" s="27"/>
      <c r="O82" s="27"/>
      <c r="P82" s="27"/>
      <c r="Q82" s="27"/>
      <c r="R82" s="27"/>
      <c r="S82" s="27"/>
      <c r="T82" s="27"/>
      <c r="U82" s="27"/>
      <c r="V82" s="27"/>
      <c r="W82" s="27"/>
      <c r="X82" s="27"/>
    </row>
    <row r="83" spans="1:24" ht="11.25">
      <c r="A83" s="27"/>
      <c r="B83" s="27"/>
      <c r="C83" s="27"/>
      <c r="D83" s="27"/>
      <c r="E83" s="27"/>
      <c r="F83" s="27"/>
      <c r="G83" s="27"/>
      <c r="H83" s="27"/>
      <c r="I83" s="27"/>
      <c r="J83" s="27"/>
      <c r="K83" s="27"/>
      <c r="L83" s="27"/>
      <c r="M83" s="27"/>
      <c r="N83" s="27"/>
      <c r="O83" s="27"/>
      <c r="P83" s="27"/>
      <c r="Q83" s="27"/>
      <c r="R83" s="27"/>
      <c r="S83" s="27"/>
      <c r="T83" s="27"/>
      <c r="U83" s="27"/>
      <c r="V83" s="27"/>
      <c r="W83" s="27"/>
      <c r="X83" s="27"/>
    </row>
    <row r="84" spans="1:24" ht="11.25">
      <c r="A84" s="27"/>
      <c r="B84" s="27"/>
      <c r="C84" s="27"/>
      <c r="D84" s="27"/>
      <c r="E84" s="27"/>
      <c r="F84" s="27"/>
      <c r="G84" s="27"/>
      <c r="H84" s="27"/>
      <c r="I84" s="27"/>
      <c r="J84" s="27"/>
      <c r="K84" s="27"/>
      <c r="L84" s="27"/>
      <c r="M84" s="27"/>
      <c r="N84" s="27"/>
      <c r="O84" s="27"/>
      <c r="P84" s="27"/>
      <c r="Q84" s="27"/>
      <c r="R84" s="27"/>
      <c r="S84" s="27"/>
      <c r="T84" s="27"/>
      <c r="U84" s="27"/>
      <c r="V84" s="27"/>
      <c r="W84" s="27"/>
      <c r="X84" s="27"/>
    </row>
    <row r="85" spans="1:24" ht="11.25">
      <c r="A85" s="27"/>
      <c r="B85" s="27"/>
      <c r="C85" s="27"/>
      <c r="D85" s="27"/>
      <c r="E85" s="27"/>
      <c r="F85" s="27"/>
      <c r="G85" s="27"/>
      <c r="H85" s="27"/>
      <c r="I85" s="27"/>
      <c r="J85" s="27"/>
      <c r="K85" s="27"/>
      <c r="L85" s="27"/>
      <c r="M85" s="27"/>
      <c r="N85" s="27"/>
      <c r="O85" s="27"/>
      <c r="P85" s="27"/>
      <c r="Q85" s="27"/>
      <c r="R85" s="27"/>
      <c r="S85" s="27"/>
      <c r="T85" s="27"/>
      <c r="U85" s="27"/>
      <c r="V85" s="27"/>
      <c r="W85" s="27"/>
      <c r="X85" s="27"/>
    </row>
    <row r="86" spans="1:24" ht="11.25">
      <c r="A86" s="27"/>
      <c r="B86" s="27"/>
      <c r="C86" s="27"/>
      <c r="D86" s="27"/>
      <c r="E86" s="27"/>
      <c r="F86" s="27"/>
      <c r="G86" s="27"/>
      <c r="H86" s="27"/>
      <c r="I86" s="27"/>
      <c r="J86" s="27"/>
      <c r="K86" s="27"/>
      <c r="L86" s="27"/>
      <c r="M86" s="27"/>
      <c r="N86" s="27"/>
      <c r="O86" s="27"/>
      <c r="P86" s="27"/>
      <c r="Q86" s="27"/>
      <c r="R86" s="27"/>
      <c r="S86" s="27"/>
      <c r="T86" s="27"/>
      <c r="U86" s="27"/>
      <c r="V86" s="27"/>
      <c r="W86" s="27"/>
      <c r="X86" s="27"/>
    </row>
    <row r="87" spans="1:24" ht="11.25">
      <c r="A87" s="27"/>
      <c r="B87" s="27"/>
      <c r="C87" s="27"/>
      <c r="D87" s="27"/>
      <c r="E87" s="27"/>
      <c r="F87" s="27"/>
      <c r="G87" s="27"/>
      <c r="H87" s="27"/>
      <c r="I87" s="27"/>
      <c r="J87" s="27"/>
      <c r="K87" s="27"/>
      <c r="L87" s="27"/>
      <c r="M87" s="27"/>
      <c r="N87" s="27"/>
      <c r="O87" s="27"/>
      <c r="P87" s="27"/>
      <c r="Q87" s="27"/>
      <c r="R87" s="27"/>
      <c r="S87" s="27"/>
      <c r="T87" s="27"/>
      <c r="U87" s="27"/>
      <c r="V87" s="27"/>
      <c r="W87" s="27"/>
      <c r="X87" s="27"/>
    </row>
    <row r="88" spans="1:24" ht="11.25">
      <c r="A88" s="27"/>
      <c r="B88" s="27"/>
      <c r="C88" s="27"/>
      <c r="D88" s="27"/>
      <c r="E88" s="27"/>
      <c r="F88" s="27"/>
      <c r="G88" s="27"/>
      <c r="H88" s="27"/>
      <c r="I88" s="27"/>
      <c r="J88" s="27"/>
      <c r="K88" s="27"/>
      <c r="L88" s="27"/>
      <c r="M88" s="27"/>
      <c r="N88" s="27"/>
      <c r="O88" s="27"/>
      <c r="P88" s="27"/>
      <c r="Q88" s="27"/>
      <c r="R88" s="27"/>
      <c r="S88" s="27"/>
      <c r="T88" s="27"/>
      <c r="U88" s="27"/>
      <c r="V88" s="27"/>
      <c r="W88" s="27"/>
      <c r="X88" s="27"/>
    </row>
    <row r="89" spans="1:24" ht="11.25">
      <c r="A89" s="27"/>
      <c r="B89" s="27"/>
      <c r="C89" s="27"/>
      <c r="D89" s="27"/>
      <c r="E89" s="27"/>
      <c r="F89" s="27"/>
      <c r="G89" s="27"/>
      <c r="H89" s="27"/>
      <c r="I89" s="27"/>
      <c r="J89" s="27"/>
      <c r="K89" s="27"/>
      <c r="L89" s="27"/>
      <c r="M89" s="27"/>
      <c r="N89" s="27"/>
      <c r="O89" s="27"/>
      <c r="P89" s="27"/>
      <c r="Q89" s="27"/>
      <c r="R89" s="27"/>
      <c r="S89" s="27"/>
      <c r="T89" s="27"/>
      <c r="U89" s="27"/>
      <c r="V89" s="27"/>
      <c r="W89" s="27"/>
      <c r="X89" s="27"/>
    </row>
    <row r="90" spans="1:24" ht="11.25">
      <c r="A90" s="27"/>
      <c r="B90" s="27"/>
      <c r="C90" s="27"/>
      <c r="D90" s="27"/>
      <c r="E90" s="27"/>
      <c r="F90" s="27"/>
      <c r="G90" s="27"/>
      <c r="H90" s="27"/>
      <c r="I90" s="27"/>
      <c r="J90" s="27"/>
      <c r="K90" s="27"/>
      <c r="L90" s="27"/>
      <c r="M90" s="27"/>
      <c r="N90" s="27"/>
      <c r="O90" s="27"/>
      <c r="P90" s="27"/>
      <c r="Q90" s="27"/>
      <c r="R90" s="27"/>
      <c r="S90" s="27"/>
      <c r="T90" s="27"/>
      <c r="U90" s="27"/>
      <c r="V90" s="27"/>
      <c r="W90" s="27"/>
      <c r="X90" s="27"/>
    </row>
    <row r="91" spans="1:24" ht="11.25">
      <c r="A91" s="27"/>
      <c r="B91" s="27"/>
      <c r="C91" s="27"/>
      <c r="D91" s="27"/>
      <c r="E91" s="27"/>
      <c r="F91" s="27"/>
      <c r="G91" s="27"/>
      <c r="H91" s="27"/>
      <c r="I91" s="27"/>
      <c r="J91" s="27"/>
      <c r="K91" s="27"/>
      <c r="L91" s="27"/>
      <c r="M91" s="27"/>
      <c r="N91" s="27"/>
      <c r="O91" s="27"/>
      <c r="P91" s="27"/>
      <c r="Q91" s="27"/>
      <c r="R91" s="27"/>
      <c r="S91" s="27"/>
      <c r="T91" s="27"/>
      <c r="U91" s="27"/>
      <c r="V91" s="27"/>
      <c r="W91" s="27"/>
      <c r="X91" s="27"/>
    </row>
    <row r="92" spans="1:24" ht="11.25">
      <c r="A92" s="27"/>
      <c r="B92" s="27"/>
      <c r="C92" s="27"/>
      <c r="D92" s="27"/>
      <c r="E92" s="27"/>
      <c r="F92" s="27"/>
      <c r="G92" s="27"/>
      <c r="H92" s="27"/>
      <c r="I92" s="27"/>
      <c r="J92" s="27"/>
      <c r="K92" s="27"/>
      <c r="L92" s="27"/>
      <c r="M92" s="27"/>
      <c r="N92" s="27"/>
      <c r="O92" s="27"/>
      <c r="P92" s="27"/>
      <c r="Q92" s="27"/>
      <c r="R92" s="27"/>
      <c r="S92" s="27"/>
      <c r="T92" s="27"/>
      <c r="U92" s="27"/>
      <c r="V92" s="27"/>
      <c r="W92" s="27"/>
      <c r="X92" s="27"/>
    </row>
    <row r="93" spans="1:24" ht="11.25">
      <c r="A93" s="27"/>
      <c r="B93" s="27"/>
      <c r="C93" s="27"/>
      <c r="D93" s="27"/>
      <c r="E93" s="27"/>
      <c r="F93" s="27"/>
      <c r="G93" s="27"/>
      <c r="H93" s="27"/>
      <c r="I93" s="27"/>
      <c r="J93" s="27"/>
      <c r="K93" s="27"/>
      <c r="L93" s="27"/>
      <c r="M93" s="27"/>
      <c r="N93" s="27"/>
      <c r="O93" s="27"/>
      <c r="P93" s="27"/>
      <c r="Q93" s="27"/>
      <c r="R93" s="27"/>
      <c r="S93" s="27"/>
      <c r="T93" s="27"/>
      <c r="U93" s="27"/>
      <c r="V93" s="27"/>
      <c r="W93" s="27"/>
      <c r="X93" s="27"/>
    </row>
    <row r="94" spans="1:24" ht="11.25">
      <c r="A94" s="27"/>
      <c r="B94" s="27"/>
      <c r="C94" s="27"/>
      <c r="D94" s="27"/>
      <c r="E94" s="27"/>
      <c r="F94" s="27"/>
      <c r="G94" s="27"/>
      <c r="H94" s="27"/>
      <c r="I94" s="27"/>
      <c r="J94" s="27"/>
      <c r="K94" s="27"/>
      <c r="L94" s="27"/>
      <c r="M94" s="27"/>
      <c r="N94" s="27"/>
      <c r="O94" s="27"/>
      <c r="P94" s="27"/>
      <c r="Q94" s="27"/>
      <c r="R94" s="27"/>
      <c r="S94" s="27"/>
      <c r="T94" s="27"/>
      <c r="U94" s="27"/>
      <c r="V94" s="27"/>
      <c r="W94" s="27"/>
      <c r="X94" s="27"/>
    </row>
    <row r="95" spans="1:24" ht="11.25">
      <c r="A95" s="27"/>
      <c r="B95" s="27"/>
      <c r="C95" s="27"/>
      <c r="D95" s="27"/>
      <c r="E95" s="27"/>
      <c r="F95" s="27"/>
      <c r="G95" s="27"/>
      <c r="H95" s="27"/>
      <c r="I95" s="27"/>
      <c r="J95" s="27"/>
      <c r="K95" s="27"/>
      <c r="L95" s="27"/>
      <c r="M95" s="27"/>
      <c r="N95" s="27"/>
      <c r="O95" s="27"/>
      <c r="P95" s="27"/>
      <c r="Q95" s="27"/>
      <c r="R95" s="27"/>
      <c r="S95" s="27"/>
      <c r="T95" s="27"/>
      <c r="U95" s="27"/>
      <c r="V95" s="27"/>
      <c r="W95" s="27"/>
      <c r="X95" s="27"/>
    </row>
    <row r="96" spans="1:24" ht="11.25">
      <c r="A96" s="27"/>
      <c r="B96" s="27"/>
      <c r="C96" s="27"/>
      <c r="D96" s="27"/>
      <c r="E96" s="27"/>
      <c r="F96" s="27"/>
      <c r="G96" s="27"/>
      <c r="H96" s="27"/>
      <c r="I96" s="27"/>
      <c r="J96" s="27"/>
      <c r="K96" s="27"/>
      <c r="L96" s="27"/>
      <c r="M96" s="27"/>
      <c r="N96" s="27"/>
      <c r="O96" s="27"/>
      <c r="P96" s="27"/>
      <c r="Q96" s="27"/>
      <c r="R96" s="27"/>
      <c r="S96" s="27"/>
      <c r="T96" s="27"/>
      <c r="U96" s="27"/>
      <c r="V96" s="27"/>
      <c r="W96" s="27"/>
      <c r="X96" s="27"/>
    </row>
    <row r="97" spans="1:24" ht="11.25">
      <c r="A97" s="27"/>
      <c r="B97" s="27"/>
      <c r="C97" s="27"/>
      <c r="D97" s="27"/>
      <c r="E97" s="27"/>
      <c r="F97" s="27"/>
      <c r="G97" s="27"/>
      <c r="H97" s="27"/>
      <c r="I97" s="27"/>
      <c r="J97" s="27"/>
      <c r="K97" s="27"/>
      <c r="L97" s="27"/>
      <c r="M97" s="27"/>
      <c r="N97" s="27"/>
      <c r="O97" s="27"/>
      <c r="P97" s="27"/>
      <c r="Q97" s="27"/>
      <c r="R97" s="27"/>
      <c r="S97" s="27"/>
      <c r="T97" s="27"/>
      <c r="U97" s="27"/>
      <c r="V97" s="27"/>
      <c r="W97" s="27"/>
      <c r="X97" s="27"/>
    </row>
    <row r="98" spans="1:24" ht="11.25">
      <c r="A98" s="27"/>
      <c r="B98" s="27"/>
      <c r="C98" s="27"/>
      <c r="D98" s="27"/>
      <c r="E98" s="27"/>
      <c r="F98" s="27"/>
      <c r="G98" s="27"/>
      <c r="H98" s="27"/>
      <c r="I98" s="27"/>
      <c r="J98" s="27"/>
      <c r="K98" s="27"/>
      <c r="L98" s="27"/>
      <c r="M98" s="27"/>
      <c r="N98" s="27"/>
      <c r="O98" s="27"/>
      <c r="P98" s="27"/>
      <c r="Q98" s="27"/>
      <c r="R98" s="27"/>
      <c r="S98" s="27"/>
      <c r="T98" s="27"/>
      <c r="U98" s="27"/>
      <c r="V98" s="27"/>
      <c r="W98" s="27"/>
      <c r="X98" s="27"/>
    </row>
    <row r="99" spans="1:24" ht="11.25">
      <c r="A99" s="27"/>
      <c r="B99" s="27"/>
      <c r="C99" s="27"/>
      <c r="D99" s="27"/>
      <c r="E99" s="27"/>
      <c r="F99" s="27"/>
      <c r="G99" s="27"/>
      <c r="H99" s="27"/>
      <c r="I99" s="27"/>
      <c r="J99" s="27"/>
      <c r="K99" s="27"/>
      <c r="L99" s="27"/>
      <c r="M99" s="27"/>
      <c r="N99" s="27"/>
      <c r="O99" s="27"/>
      <c r="P99" s="27"/>
      <c r="Q99" s="27"/>
      <c r="R99" s="27"/>
      <c r="S99" s="27"/>
      <c r="T99" s="27"/>
      <c r="U99" s="27"/>
      <c r="V99" s="27"/>
      <c r="W99" s="27"/>
      <c r="X99" s="27"/>
    </row>
    <row r="100" spans="1:24" ht="11.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ht="11.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ht="11.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1.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ht="11.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1:24" ht="11.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ht="11.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ht="11.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row>
    <row r="108" spans="1:24" ht="11.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row>
    <row r="109" spans="1:24" ht="11.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row>
    <row r="110" spans="1:24" ht="11.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1:24" ht="11.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row>
    <row r="112" spans="1:24" ht="11.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ht="11.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ht="11.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ht="11.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ht="11.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ht="11.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ht="11.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ht="11.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ht="11.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ht="11.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ht="11.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1.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1.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ht="11.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11.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ht="11.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1.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1.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1.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1.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ht="11.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11.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row>
    <row r="134" spans="1:24" ht="11.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1.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1.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1.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1.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ht="11.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row r="140" spans="1:24" ht="11.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ht="11.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row>
    <row r="142" spans="1:24" ht="11.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24" ht="11.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row>
    <row r="144" spans="1:24" ht="11.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row>
    <row r="145" spans="1:24" ht="11.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row>
    <row r="146" spans="1:24" ht="11.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row>
    <row r="147" spans="1:24" ht="11.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row>
    <row r="148" spans="1:24" ht="11.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row>
    <row r="149" spans="1:24" ht="11.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row>
    <row r="150" spans="1:24" ht="11.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ht="11.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row>
    <row r="152" spans="1:24" ht="11.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row>
    <row r="153" spans="1:24" ht="11.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ht="11.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ht="11.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row>
    <row r="156" spans="1:24" ht="11.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row>
    <row r="157" spans="1:24" ht="11.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row>
    <row r="158" spans="1:24" ht="11.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row>
    <row r="159" spans="1:24" ht="11.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row>
    <row r="160" spans="1:24" ht="11.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row>
    <row r="161" spans="1:24" ht="11.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row>
    <row r="162" spans="1:24" ht="11.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row>
    <row r="163" spans="1:24" ht="11.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row>
    <row r="164" spans="1:24" ht="11.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row>
    <row r="165" spans="1:24" ht="11.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row>
    <row r="166" spans="1:24" ht="11.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row>
    <row r="167" spans="1:24" ht="11.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ht="11.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row>
    <row r="169" spans="1:24" ht="11.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ht="11.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row>
    <row r="171" spans="1:24" ht="11.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row>
    <row r="172" spans="1:24" ht="11.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row>
    <row r="173" spans="1:24" ht="11.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row>
    <row r="174" spans="1:24" ht="11.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row>
    <row r="175" spans="1:24" ht="11.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row>
    <row r="176" spans="1:24" ht="11.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row>
    <row r="177" spans="1:24" ht="11.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row>
    <row r="178" spans="1:24" ht="11.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row>
    <row r="179" spans="1:24" ht="11.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row>
    <row r="180" spans="1:24" ht="11.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row>
    <row r="181" spans="1:24" ht="11.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row>
    <row r="182" spans="1:24" ht="11.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row>
    <row r="183" spans="1:24" ht="11.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row>
    <row r="184" spans="1:24" ht="11.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row>
    <row r="185" spans="1:24" ht="11.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row>
    <row r="186" spans="1:24" ht="11.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row>
    <row r="187" spans="1:24" ht="11.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row>
    <row r="188" spans="1:24" ht="11.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row>
    <row r="189" spans="1:24" ht="11.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row>
    <row r="190" spans="1:24" ht="11.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row>
    <row r="191" spans="1:24" ht="11.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row>
    <row r="192" spans="1:24" ht="11.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row>
    <row r="193" spans="1:24" ht="11.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row>
    <row r="194" spans="1:24" ht="11.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row>
    <row r="195" spans="1:24" ht="11.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row>
    <row r="196" spans="1:24" ht="11.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row>
    <row r="197" spans="1:24" ht="11.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row>
    <row r="198" spans="1:24" ht="11.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row>
    <row r="199" spans="1:24" ht="11.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row>
    <row r="200" spans="1:24" ht="11.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row>
    <row r="201" spans="1:24" ht="11.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row>
    <row r="202" spans="1:24" ht="11.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row>
    <row r="203" spans="1:24" ht="11.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row>
    <row r="204" spans="1:24" ht="11.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row>
    <row r="205" spans="1:24" ht="11.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row>
    <row r="206" spans="1:24" ht="11.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row>
    <row r="207" spans="1:24" ht="11.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row>
    <row r="208" spans="1:24" ht="11.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row>
    <row r="209" spans="1:24" ht="11.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row>
    <row r="210" spans="1:24" ht="11.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row>
    <row r="211" spans="1:24" ht="11.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row>
    <row r="212" spans="1:24" ht="11.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row>
    <row r="213" spans="1:24" ht="11.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row>
    <row r="214" spans="1:24" ht="11.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row>
    <row r="215" spans="1:24" ht="11.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row>
    <row r="216" spans="1:24" ht="11.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row>
    <row r="217" spans="1:24" ht="11.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row>
    <row r="218" spans="1:24" ht="11.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row>
    <row r="219" spans="1:24" ht="11.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row>
    <row r="220" spans="1:24" ht="11.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row>
    <row r="221" spans="1:24" ht="11.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row>
    <row r="222" spans="1:24" ht="11.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row>
    <row r="223" spans="1:24" ht="11.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row>
    <row r="224" spans="1:24" ht="11.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row>
    <row r="225" spans="1:24" ht="11.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row>
    <row r="226" spans="1:24" ht="11.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row>
    <row r="227" spans="1:24" ht="11.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row>
    <row r="228" spans="1:24" ht="11.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row>
    <row r="229" spans="1:24" ht="11.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row>
    <row r="230" spans="1:24" ht="11.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row>
    <row r="231" spans="1:24" ht="11.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row>
    <row r="232" spans="1:24" ht="11.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row>
    <row r="233" spans="1:24" ht="11.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row>
    <row r="234" spans="1:24" ht="11.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row>
    <row r="235" spans="1:24" ht="11.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row>
    <row r="236" spans="1:24" ht="11.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row>
    <row r="237" spans="1:24" ht="11.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row>
    <row r="238" spans="1:24" ht="11.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row>
    <row r="239" spans="1:24" ht="11.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row>
    <row r="240" spans="1:24" ht="11.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row>
    <row r="241" spans="1:24" ht="11.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row>
    <row r="242" spans="1:24" ht="11.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row>
    <row r="243" spans="1:24" ht="11.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row>
    <row r="244" spans="1:24" ht="11.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row>
    <row r="245" spans="1:24" ht="11.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row>
    <row r="246" spans="1:24" ht="11.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row>
    <row r="247" spans="1:24" ht="11.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row>
    <row r="248" spans="1:24" ht="11.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row>
    <row r="249" spans="1:24" ht="11.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row>
    <row r="250" spans="1:24" ht="11.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row>
    <row r="251" spans="1:24" ht="11.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row>
    <row r="252" spans="1:24" ht="11.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row>
    <row r="253" spans="1:24" ht="11.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row>
    <row r="254" spans="1:24" ht="11.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row>
    <row r="255" spans="1:24" ht="11.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row>
    <row r="256" spans="1:24" ht="11.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row>
    <row r="257" spans="1:24" ht="11.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row>
    <row r="258" spans="1:24" ht="11.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row>
    <row r="259" spans="1:24" ht="11.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row>
    <row r="260" spans="1:24" ht="11.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row>
    <row r="261" spans="1:24" ht="11.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row>
    <row r="262" spans="1:24" ht="11.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row>
    <row r="263" spans="1:24" ht="11.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row>
    <row r="264" spans="1:24" ht="11.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row>
    <row r="265" spans="1:24" ht="11.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row>
    <row r="266" spans="1:24" ht="11.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row>
    <row r="267" spans="1:24" ht="11.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row>
    <row r="268" spans="1:24" ht="11.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row>
    <row r="269" spans="1:24" ht="11.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row>
    <row r="270" spans="1:24" ht="11.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row>
    <row r="271" spans="1:24" ht="11.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row>
    <row r="272" spans="1:24" ht="11.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row>
    <row r="273" spans="1:24" ht="11.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row>
    <row r="274" spans="1:24" ht="11.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row>
    <row r="275" spans="1:24" ht="11.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row>
    <row r="276" spans="1:24" ht="11.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row>
    <row r="277" spans="1:24" ht="11.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row>
    <row r="278" spans="1:24" ht="11.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row>
    <row r="279" spans="1:24" ht="11.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row>
    <row r="280" spans="1:24" ht="11.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row>
    <row r="281" spans="1:24" ht="11.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row>
    <row r="282" spans="1:24" ht="11.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row>
    <row r="283" spans="1:24" ht="11.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row>
    <row r="284" spans="1:24" ht="11.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row>
    <row r="285" spans="1:24" ht="11.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row>
    <row r="286" spans="1:24" ht="11.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row>
    <row r="287" spans="1:24" ht="11.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row>
    <row r="288" spans="1:24" ht="11.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row>
    <row r="289" spans="1:24" ht="11.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row>
    <row r="290" spans="1:24" ht="11.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row>
    <row r="291" spans="1:24" ht="11.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row>
    <row r="292" spans="1:24" ht="11.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row>
  </sheetData>
  <sheetProtection/>
  <printOptions/>
  <pageMargins left="0.75" right="0.75" top="1" bottom="1" header="0.5" footer="0.5"/>
  <pageSetup fitToHeight="1" fitToWidth="1" horizontalDpi="600" verticalDpi="600" orientation="portrait" scale="20" r:id="rId1"/>
</worksheet>
</file>

<file path=xl/worksheets/sheet53.xml><?xml version="1.0" encoding="utf-8"?>
<worksheet xmlns="http://schemas.openxmlformats.org/spreadsheetml/2006/main" xmlns:r="http://schemas.openxmlformats.org/officeDocument/2006/relationships">
  <sheetPr codeName="Sheet14"/>
  <dimension ref="A1:B84"/>
  <sheetViews>
    <sheetView zoomScalePageLayoutView="0" workbookViewId="0" topLeftCell="A14">
      <selection activeCell="A1" sqref="A1"/>
    </sheetView>
  </sheetViews>
  <sheetFormatPr defaultColWidth="9.140625" defaultRowHeight="12.75"/>
  <cols>
    <col min="1" max="1" width="30.00390625" style="245" customWidth="1"/>
    <col min="2" max="2" width="55.28125" style="46" customWidth="1"/>
    <col min="3" max="16384" width="9.140625" style="3" customWidth="1"/>
  </cols>
  <sheetData>
    <row r="1" ht="15.75">
      <c r="A1" s="244" t="s">
        <v>176</v>
      </c>
    </row>
    <row r="2" spans="1:2" s="76" customFormat="1" ht="11.25">
      <c r="A2" s="243"/>
      <c r="B2" s="137"/>
    </row>
    <row r="3" spans="1:2" s="76" customFormat="1" ht="56.25">
      <c r="A3" s="243" t="s">
        <v>266</v>
      </c>
      <c r="B3" s="137" t="s">
        <v>818</v>
      </c>
    </row>
    <row r="4" spans="1:2" s="76" customFormat="1" ht="56.25">
      <c r="A4" s="243"/>
      <c r="B4" s="137" t="s">
        <v>824</v>
      </c>
    </row>
    <row r="5" spans="1:2" s="76" customFormat="1" ht="11.25">
      <c r="A5" s="243"/>
      <c r="B5" s="137"/>
    </row>
    <row r="6" spans="1:2" s="76" customFormat="1" ht="56.25">
      <c r="A6" s="243" t="s">
        <v>262</v>
      </c>
      <c r="B6" s="137" t="s">
        <v>132</v>
      </c>
    </row>
    <row r="7" spans="1:2" s="76" customFormat="1" ht="11.25">
      <c r="A7" s="243"/>
      <c r="B7" s="137"/>
    </row>
    <row r="8" spans="1:2" s="76" customFormat="1" ht="146.25">
      <c r="A8" s="243" t="s">
        <v>821</v>
      </c>
      <c r="B8" s="137" t="s">
        <v>820</v>
      </c>
    </row>
    <row r="9" s="76" customFormat="1" ht="11.25">
      <c r="A9" s="138"/>
    </row>
    <row r="10" spans="1:2" s="76" customFormat="1" ht="22.5">
      <c r="A10" s="138" t="s">
        <v>263</v>
      </c>
      <c r="B10" s="137" t="s">
        <v>1159</v>
      </c>
    </row>
    <row r="11" spans="1:2" s="76" customFormat="1" ht="11.25">
      <c r="A11" s="138" t="s">
        <v>264</v>
      </c>
      <c r="B11" s="137" t="s">
        <v>265</v>
      </c>
    </row>
    <row r="12" spans="1:2" s="76" customFormat="1" ht="11.25">
      <c r="A12" s="138" t="s">
        <v>266</v>
      </c>
      <c r="B12" s="137" t="s">
        <v>267</v>
      </c>
    </row>
    <row r="13" spans="1:2" s="76" customFormat="1" ht="11.25">
      <c r="A13" s="138"/>
      <c r="B13" s="137"/>
    </row>
    <row r="14" spans="1:2" s="76" customFormat="1" ht="11.25">
      <c r="A14" s="138"/>
      <c r="B14" s="137"/>
    </row>
    <row r="15" spans="1:2" s="76" customFormat="1" ht="56.25">
      <c r="A15" s="243" t="s">
        <v>269</v>
      </c>
      <c r="B15" s="137" t="s">
        <v>175</v>
      </c>
    </row>
    <row r="16" spans="1:2" s="76" customFormat="1" ht="11.25">
      <c r="A16" s="138"/>
      <c r="B16" s="137"/>
    </row>
    <row r="17" spans="1:2" s="76" customFormat="1" ht="11.25">
      <c r="A17" s="138" t="s">
        <v>263</v>
      </c>
      <c r="B17" s="308" t="s">
        <v>1158</v>
      </c>
    </row>
    <row r="18" spans="1:2" s="76" customFormat="1" ht="11.25">
      <c r="A18" s="138" t="s">
        <v>264</v>
      </c>
      <c r="B18" s="137" t="s">
        <v>270</v>
      </c>
    </row>
    <row r="19" spans="1:2" s="76" customFormat="1" ht="11.25">
      <c r="A19" s="138" t="s">
        <v>266</v>
      </c>
      <c r="B19" s="137" t="s">
        <v>267</v>
      </c>
    </row>
    <row r="20" spans="1:2" s="76" customFormat="1" ht="11.25">
      <c r="A20" s="138"/>
      <c r="B20" s="137"/>
    </row>
    <row r="21" spans="1:2" s="76" customFormat="1" ht="11.25">
      <c r="A21" s="138"/>
      <c r="B21" s="137"/>
    </row>
    <row r="22" spans="1:2" s="76" customFormat="1" ht="21" customHeight="1">
      <c r="A22" s="243" t="s">
        <v>271</v>
      </c>
      <c r="B22" s="137" t="s">
        <v>815</v>
      </c>
    </row>
    <row r="23" spans="1:2" s="76" customFormat="1" ht="11.25">
      <c r="A23" s="138"/>
      <c r="B23" s="137"/>
    </row>
    <row r="24" spans="1:2" s="76" customFormat="1" ht="11.25">
      <c r="A24" s="138" t="s">
        <v>263</v>
      </c>
      <c r="B24" s="137" t="s">
        <v>814</v>
      </c>
    </row>
    <row r="25" spans="1:2" s="76" customFormat="1" ht="11.25">
      <c r="A25" s="138" t="s">
        <v>264</v>
      </c>
      <c r="B25" s="137" t="s">
        <v>272</v>
      </c>
    </row>
    <row r="26" spans="1:2" s="76" customFormat="1" ht="11.25">
      <c r="A26" s="138" t="s">
        <v>266</v>
      </c>
      <c r="B26" s="137" t="s">
        <v>267</v>
      </c>
    </row>
    <row r="27" spans="1:2" s="76" customFormat="1" ht="11.25">
      <c r="A27" s="138"/>
      <c r="B27" s="137"/>
    </row>
    <row r="28" spans="1:2" s="76" customFormat="1" ht="11.25">
      <c r="A28" s="138"/>
      <c r="B28" s="137"/>
    </row>
    <row r="29" spans="1:2" s="76" customFormat="1" ht="45">
      <c r="A29" s="243" t="s">
        <v>301</v>
      </c>
      <c r="B29" s="246" t="s">
        <v>133</v>
      </c>
    </row>
    <row r="30" spans="1:2" s="76" customFormat="1" ht="11.25">
      <c r="A30" s="138"/>
      <c r="B30" s="137"/>
    </row>
    <row r="31" spans="1:2" s="76" customFormat="1" ht="11.25">
      <c r="A31" s="138" t="s">
        <v>263</v>
      </c>
      <c r="B31" s="137" t="s">
        <v>813</v>
      </c>
    </row>
    <row r="32" spans="1:2" s="76" customFormat="1" ht="11.25">
      <c r="A32" s="138" t="s">
        <v>264</v>
      </c>
      <c r="B32" s="137" t="s">
        <v>272</v>
      </c>
    </row>
    <row r="33" spans="1:2" s="76" customFormat="1" ht="11.25">
      <c r="A33" s="138" t="s">
        <v>266</v>
      </c>
      <c r="B33" s="137" t="s">
        <v>267</v>
      </c>
    </row>
    <row r="34" spans="1:2" s="76" customFormat="1" ht="11.25">
      <c r="A34" s="138"/>
      <c r="B34" s="137"/>
    </row>
    <row r="35" spans="1:2" s="76" customFormat="1" ht="11.25">
      <c r="A35" s="138"/>
      <c r="B35" s="137"/>
    </row>
    <row r="36" spans="1:2" s="76" customFormat="1" ht="11.25">
      <c r="A36" s="243" t="s">
        <v>273</v>
      </c>
      <c r="B36" s="137" t="s">
        <v>816</v>
      </c>
    </row>
    <row r="37" spans="1:2" s="76" customFormat="1" ht="11.25">
      <c r="A37" s="138"/>
      <c r="B37" s="137"/>
    </row>
    <row r="38" spans="1:2" s="76" customFormat="1" ht="45">
      <c r="A38" s="138" t="s">
        <v>311</v>
      </c>
      <c r="B38" s="137" t="s">
        <v>529</v>
      </c>
    </row>
    <row r="39" spans="1:2" s="76" customFormat="1" ht="11.25">
      <c r="A39" s="138" t="s">
        <v>274</v>
      </c>
      <c r="B39" s="137" t="s">
        <v>308</v>
      </c>
    </row>
    <row r="40" spans="1:2" s="76" customFormat="1" ht="11.25">
      <c r="A40" s="138" t="s">
        <v>266</v>
      </c>
      <c r="B40" s="137" t="s">
        <v>275</v>
      </c>
    </row>
    <row r="41" spans="1:2" s="76" customFormat="1" ht="11.25">
      <c r="A41" s="138" t="s">
        <v>268</v>
      </c>
      <c r="B41" s="137">
        <v>1</v>
      </c>
    </row>
    <row r="42" spans="1:2" s="76" customFormat="1" ht="11.25">
      <c r="A42" s="138"/>
      <c r="B42" s="137"/>
    </row>
    <row r="43" spans="1:2" s="76" customFormat="1" ht="11.25">
      <c r="A43" s="243" t="s">
        <v>276</v>
      </c>
      <c r="B43" s="137"/>
    </row>
    <row r="44" spans="1:2" s="76" customFormat="1" ht="11.25">
      <c r="A44" s="243"/>
      <c r="B44" s="137"/>
    </row>
    <row r="45" spans="1:2" s="76" customFormat="1" ht="11.25">
      <c r="A45" s="138" t="s">
        <v>277</v>
      </c>
      <c r="B45" s="137"/>
    </row>
    <row r="46" spans="1:2" s="76" customFormat="1" ht="11.25">
      <c r="A46" s="138" t="s">
        <v>278</v>
      </c>
      <c r="B46" s="137"/>
    </row>
    <row r="47" spans="1:2" s="76" customFormat="1" ht="11.25">
      <c r="A47" s="138" t="s">
        <v>279</v>
      </c>
      <c r="B47" s="137"/>
    </row>
    <row r="49" spans="1:2" s="76" customFormat="1" ht="11.25">
      <c r="A49" s="138"/>
      <c r="B49" s="137"/>
    </row>
    <row r="50" spans="1:2" s="76" customFormat="1" ht="11.25">
      <c r="A50" s="138"/>
      <c r="B50" s="137"/>
    </row>
    <row r="51" spans="1:2" s="76" customFormat="1" ht="11.25">
      <c r="A51" s="138"/>
      <c r="B51" s="137"/>
    </row>
    <row r="52" spans="1:2" s="76" customFormat="1" ht="11.25">
      <c r="A52" s="138"/>
      <c r="B52" s="137"/>
    </row>
    <row r="53" spans="1:2" s="76" customFormat="1" ht="11.25">
      <c r="A53" s="243" t="s">
        <v>817</v>
      </c>
      <c r="B53" s="137"/>
    </row>
    <row r="54" spans="1:2" s="76" customFormat="1" ht="11.25">
      <c r="A54" s="138"/>
      <c r="B54" s="137"/>
    </row>
    <row r="55" spans="1:2" s="76" customFormat="1" ht="11.25">
      <c r="A55" s="138"/>
      <c r="B55" s="137" t="s">
        <v>790</v>
      </c>
    </row>
    <row r="56" spans="1:2" s="76" customFormat="1" ht="11.25">
      <c r="A56" s="138"/>
      <c r="B56" s="137" t="s">
        <v>791</v>
      </c>
    </row>
    <row r="57" spans="1:2" s="76" customFormat="1" ht="11.25">
      <c r="A57" s="138"/>
      <c r="B57" s="137" t="s">
        <v>792</v>
      </c>
    </row>
    <row r="58" spans="1:2" s="76" customFormat="1" ht="11.25">
      <c r="A58" s="138"/>
      <c r="B58" s="137" t="s">
        <v>793</v>
      </c>
    </row>
    <row r="59" spans="1:2" s="76" customFormat="1" ht="11.25">
      <c r="A59" s="138"/>
      <c r="B59" s="137"/>
    </row>
    <row r="60" spans="1:2" s="76" customFormat="1" ht="11.25">
      <c r="A60" s="138"/>
      <c r="B60" s="137" t="s">
        <v>794</v>
      </c>
    </row>
    <row r="61" spans="1:2" s="76" customFormat="1" ht="11.25">
      <c r="A61" s="138"/>
      <c r="B61" s="137" t="s">
        <v>795</v>
      </c>
    </row>
    <row r="62" spans="1:2" s="76" customFormat="1" ht="11.25">
      <c r="A62" s="138"/>
      <c r="B62" s="137" t="s">
        <v>796</v>
      </c>
    </row>
    <row r="63" spans="1:2" s="76" customFormat="1" ht="11.25">
      <c r="A63" s="138"/>
      <c r="B63" s="137" t="s">
        <v>797</v>
      </c>
    </row>
    <row r="64" spans="1:2" s="76" customFormat="1" ht="11.25">
      <c r="A64" s="138"/>
      <c r="B64" s="137" t="s">
        <v>801</v>
      </c>
    </row>
    <row r="65" spans="1:2" s="76" customFormat="1" ht="11.25">
      <c r="A65" s="138"/>
      <c r="B65" s="137"/>
    </row>
    <row r="66" spans="1:2" s="76" customFormat="1" ht="11.25">
      <c r="A66" s="138"/>
      <c r="B66" s="137" t="s">
        <v>802</v>
      </c>
    </row>
    <row r="67" spans="1:2" s="76" customFormat="1" ht="11.25">
      <c r="A67" s="138"/>
      <c r="B67" s="137" t="s">
        <v>803</v>
      </c>
    </row>
    <row r="68" spans="1:2" s="76" customFormat="1" ht="11.25">
      <c r="A68" s="138"/>
      <c r="B68" s="137"/>
    </row>
    <row r="69" spans="1:2" s="76" customFormat="1" ht="11.25">
      <c r="A69" s="138"/>
      <c r="B69" s="137" t="s">
        <v>804</v>
      </c>
    </row>
    <row r="70" spans="1:2" s="76" customFormat="1" ht="11.25">
      <c r="A70" s="138"/>
      <c r="B70" s="137" t="s">
        <v>805</v>
      </c>
    </row>
    <row r="71" spans="1:2" s="76" customFormat="1" ht="11.25">
      <c r="A71" s="138"/>
      <c r="B71" s="137"/>
    </row>
    <row r="72" spans="1:2" s="76" customFormat="1" ht="11.25">
      <c r="A72" s="138"/>
      <c r="B72" s="137" t="s">
        <v>806</v>
      </c>
    </row>
    <row r="73" spans="1:2" s="76" customFormat="1" ht="11.25">
      <c r="A73" s="138"/>
      <c r="B73" s="137" t="s">
        <v>807</v>
      </c>
    </row>
    <row r="74" spans="1:2" s="76" customFormat="1" ht="11.25">
      <c r="A74" s="138"/>
      <c r="B74" s="137" t="s">
        <v>808</v>
      </c>
    </row>
    <row r="75" spans="1:2" s="76" customFormat="1" ht="11.25">
      <c r="A75" s="138"/>
      <c r="B75" s="137"/>
    </row>
    <row r="76" spans="1:2" s="76" customFormat="1" ht="11.25">
      <c r="A76" s="138"/>
      <c r="B76" s="137" t="s">
        <v>809</v>
      </c>
    </row>
    <row r="77" spans="1:2" s="76" customFormat="1" ht="11.25">
      <c r="A77" s="138"/>
      <c r="B77" s="137" t="s">
        <v>810</v>
      </c>
    </row>
    <row r="78" spans="1:2" s="76" customFormat="1" ht="11.25">
      <c r="A78" s="138"/>
      <c r="B78" s="137" t="s">
        <v>811</v>
      </c>
    </row>
    <row r="79" spans="1:2" s="76" customFormat="1" ht="11.25">
      <c r="A79" s="138"/>
      <c r="B79" s="137" t="s">
        <v>812</v>
      </c>
    </row>
    <row r="80" spans="1:2" s="76" customFormat="1" ht="11.25">
      <c r="A80" s="138"/>
      <c r="B80" s="137"/>
    </row>
    <row r="81" spans="1:2" s="76" customFormat="1" ht="11.25">
      <c r="A81" s="138"/>
      <c r="B81" s="137"/>
    </row>
    <row r="82" spans="1:2" s="76" customFormat="1" ht="11.25">
      <c r="A82" s="138"/>
      <c r="B82" s="137"/>
    </row>
    <row r="83" spans="1:2" s="76" customFormat="1" ht="11.25">
      <c r="A83" s="138"/>
      <c r="B83" s="137"/>
    </row>
    <row r="84" spans="1:2" s="76" customFormat="1" ht="11.25">
      <c r="A84" s="138"/>
      <c r="B84" s="137"/>
    </row>
  </sheetData>
  <sheetProtection/>
  <printOptions/>
  <pageMargins left="0.75" right="0.75" top="1" bottom="1" header="0.5" footer="0.5"/>
  <pageSetup horizontalDpi="600" verticalDpi="600" orientation="portrait" r:id="rId1"/>
</worksheet>
</file>

<file path=xl/worksheets/sheet54.xml><?xml version="1.0" encoding="utf-8"?>
<worksheet xmlns="http://schemas.openxmlformats.org/spreadsheetml/2006/main" xmlns:r="http://schemas.openxmlformats.org/officeDocument/2006/relationships">
  <sheetPr codeName="Sheet15"/>
  <dimension ref="A1:V313"/>
  <sheetViews>
    <sheetView zoomScalePageLayoutView="0" workbookViewId="0" topLeftCell="A151">
      <selection activeCell="D1" sqref="D1"/>
    </sheetView>
  </sheetViews>
  <sheetFormatPr defaultColWidth="9.140625" defaultRowHeight="12.75"/>
  <cols>
    <col min="1" max="1" width="8.28125" style="144" customWidth="1"/>
    <col min="2" max="2" width="9.140625" style="144" customWidth="1"/>
    <col min="3" max="4" width="3.28125" style="144" customWidth="1"/>
    <col min="5" max="5" width="8.7109375" style="144" customWidth="1"/>
    <col min="6" max="11" width="3.28125" style="144" customWidth="1"/>
    <col min="12" max="13" width="9.140625" style="144" customWidth="1"/>
    <col min="14" max="15" width="3.28125" style="144" customWidth="1"/>
    <col min="16" max="16" width="8.421875" style="144" customWidth="1"/>
    <col min="17" max="22" width="3.7109375" style="144" customWidth="1"/>
    <col min="23" max="16384" width="9.140625" style="144" customWidth="1"/>
  </cols>
  <sheetData>
    <row r="1" ht="12.75">
      <c r="A1" s="144" t="s">
        <v>218</v>
      </c>
    </row>
    <row r="2" ht="12.75">
      <c r="A2" s="144" t="s">
        <v>219</v>
      </c>
    </row>
    <row r="4" ht="12.75">
      <c r="A4" s="7" t="s">
        <v>220</v>
      </c>
    </row>
    <row r="6" ht="12.75">
      <c r="A6" s="144" t="s">
        <v>221</v>
      </c>
    </row>
    <row r="7" ht="12.75">
      <c r="A7" s="144" t="s">
        <v>222</v>
      </c>
    </row>
    <row r="8" ht="12.75">
      <c r="A8" s="144" t="s">
        <v>692</v>
      </c>
    </row>
    <row r="10" ht="12.75">
      <c r="A10" s="7" t="s">
        <v>690</v>
      </c>
    </row>
    <row r="12" ht="12.75">
      <c r="A12" s="144" t="s">
        <v>195</v>
      </c>
    </row>
    <row r="13" ht="12.75">
      <c r="A13" s="144" t="s">
        <v>196</v>
      </c>
    </row>
    <row r="14" ht="12.75">
      <c r="A14" s="144" t="s">
        <v>197</v>
      </c>
    </row>
    <row r="15" ht="12.75">
      <c r="A15" s="144" t="s">
        <v>691</v>
      </c>
    </row>
    <row r="16" ht="12.75">
      <c r="A16" s="144" t="s">
        <v>213</v>
      </c>
    </row>
    <row r="18" ht="12.75">
      <c r="A18" s="7" t="s">
        <v>689</v>
      </c>
    </row>
    <row r="19" ht="12.75">
      <c r="A19" s="7"/>
    </row>
    <row r="20" ht="12.75">
      <c r="A20" s="144" t="s">
        <v>695</v>
      </c>
    </row>
    <row r="21" ht="12.75">
      <c r="A21" s="144" t="s">
        <v>694</v>
      </c>
    </row>
    <row r="22" ht="12.75">
      <c r="A22" s="144" t="s">
        <v>693</v>
      </c>
    </row>
    <row r="24" ht="12.75">
      <c r="A24" s="7" t="s">
        <v>682</v>
      </c>
    </row>
    <row r="25" ht="12.75">
      <c r="A25" s="7"/>
    </row>
    <row r="26" ht="12.75">
      <c r="A26" s="144" t="s">
        <v>683</v>
      </c>
    </row>
    <row r="27" ht="12.75">
      <c r="A27" s="144" t="s">
        <v>664</v>
      </c>
    </row>
    <row r="28" ht="12.75">
      <c r="A28" s="7"/>
    </row>
    <row r="29" ht="12.75">
      <c r="A29" s="144" t="s">
        <v>676</v>
      </c>
    </row>
    <row r="30" ht="12.75">
      <c r="A30" s="144" t="s">
        <v>677</v>
      </c>
    </row>
    <row r="31" ht="12.75">
      <c r="A31" s="144" t="s">
        <v>678</v>
      </c>
    </row>
    <row r="32" ht="12.75">
      <c r="A32" s="144" t="s">
        <v>680</v>
      </c>
    </row>
    <row r="33" ht="12.75">
      <c r="A33" s="144" t="s">
        <v>679</v>
      </c>
    </row>
    <row r="34" ht="12.75">
      <c r="A34" s="144" t="s">
        <v>665</v>
      </c>
    </row>
    <row r="36" ht="12.75">
      <c r="A36" s="144" t="s">
        <v>666</v>
      </c>
    </row>
    <row r="37" ht="12.75">
      <c r="A37" s="144" t="s">
        <v>688</v>
      </c>
    </row>
    <row r="39" spans="2:5" ht="12.75">
      <c r="B39" s="190" t="s">
        <v>351</v>
      </c>
      <c r="E39" s="190" t="s">
        <v>685</v>
      </c>
    </row>
    <row r="40" spans="2:5" ht="12.75">
      <c r="B40" s="144">
        <v>21</v>
      </c>
      <c r="E40" s="189">
        <f>59-2*LOG(B40-19)</f>
        <v>58.39794000867204</v>
      </c>
    </row>
    <row r="41" spans="2:5" ht="12.75">
      <c r="B41" s="144">
        <v>22</v>
      </c>
      <c r="E41" s="189">
        <f aca="true" t="shared" si="0" ref="E41:E49">59-2*LOG(B41-19)</f>
        <v>58.045757490560675</v>
      </c>
    </row>
    <row r="42" spans="2:5" ht="12.75">
      <c r="B42" s="144">
        <v>23</v>
      </c>
      <c r="E42" s="189">
        <f t="shared" si="0"/>
        <v>57.795880017344075</v>
      </c>
    </row>
    <row r="43" spans="2:5" ht="12.75">
      <c r="B43" s="144">
        <v>24</v>
      </c>
      <c r="E43" s="189">
        <f t="shared" si="0"/>
        <v>57.60205999132796</v>
      </c>
    </row>
    <row r="44" spans="2:5" ht="12.75">
      <c r="B44" s="144">
        <v>25</v>
      </c>
      <c r="E44" s="189">
        <f t="shared" si="0"/>
        <v>57.44369749923271</v>
      </c>
    </row>
    <row r="45" spans="2:5" ht="12.75">
      <c r="B45" s="144">
        <v>30</v>
      </c>
      <c r="E45" s="189">
        <f t="shared" si="0"/>
        <v>56.91721462968355</v>
      </c>
    </row>
    <row r="46" spans="2:5" ht="12.75">
      <c r="B46" s="144">
        <v>40</v>
      </c>
      <c r="E46" s="189">
        <f t="shared" si="0"/>
        <v>56.35556141053216</v>
      </c>
    </row>
    <row r="47" spans="2:5" ht="12.75">
      <c r="B47" s="144">
        <v>50</v>
      </c>
      <c r="E47" s="189">
        <f t="shared" si="0"/>
        <v>56.01727661233146</v>
      </c>
    </row>
    <row r="48" spans="2:5" ht="12.75">
      <c r="B48" s="144">
        <v>100</v>
      </c>
      <c r="E48" s="189">
        <f t="shared" si="0"/>
        <v>55.1830299622427</v>
      </c>
    </row>
    <row r="49" spans="2:5" ht="12.75">
      <c r="B49" s="144">
        <v>200</v>
      </c>
      <c r="E49" s="189">
        <f t="shared" si="0"/>
        <v>54.48464285026163</v>
      </c>
    </row>
    <row r="50" ht="12.75">
      <c r="E50" s="189"/>
    </row>
    <row r="51" spans="1:5" ht="12.75">
      <c r="A51" s="144" t="s">
        <v>687</v>
      </c>
      <c r="E51" s="189"/>
    </row>
    <row r="52" ht="12.75">
      <c r="A52" s="144" t="s">
        <v>686</v>
      </c>
    </row>
    <row r="53" ht="12.75">
      <c r="A53" s="144" t="s">
        <v>667</v>
      </c>
    </row>
    <row r="54" ht="12.75">
      <c r="A54" s="144" t="s">
        <v>668</v>
      </c>
    </row>
    <row r="55" ht="12.75">
      <c r="A55" s="144" t="s">
        <v>669</v>
      </c>
    </row>
    <row r="56" ht="12.75">
      <c r="A56" s="7"/>
    </row>
    <row r="57" ht="12.75">
      <c r="A57" s="144" t="s">
        <v>670</v>
      </c>
    </row>
    <row r="58" ht="12.75">
      <c r="A58" s="144" t="s">
        <v>671</v>
      </c>
    </row>
    <row r="59" ht="12.75">
      <c r="A59" s="144" t="s">
        <v>675</v>
      </c>
    </row>
    <row r="60" ht="12.75">
      <c r="A60" s="144" t="s">
        <v>672</v>
      </c>
    </row>
    <row r="61" ht="12.75">
      <c r="A61" s="7"/>
    </row>
    <row r="62" ht="12.75">
      <c r="A62" s="7" t="s">
        <v>681</v>
      </c>
    </row>
    <row r="63" ht="12.75">
      <c r="A63" s="7"/>
    </row>
    <row r="64" ht="12.75">
      <c r="A64" s="144" t="s">
        <v>231</v>
      </c>
    </row>
    <row r="65" ht="12.75">
      <c r="A65" s="7"/>
    </row>
    <row r="66" ht="12.75">
      <c r="A66" s="144" t="s">
        <v>223</v>
      </c>
    </row>
    <row r="67" ht="12.75">
      <c r="A67" s="144" t="s">
        <v>224</v>
      </c>
    </row>
    <row r="68" ht="12.75">
      <c r="A68" s="144" t="s">
        <v>225</v>
      </c>
    </row>
    <row r="69" ht="12.75">
      <c r="A69" s="144" t="s">
        <v>226</v>
      </c>
    </row>
    <row r="70" ht="12.75">
      <c r="A70" s="144" t="s">
        <v>227</v>
      </c>
    </row>
    <row r="71" ht="12.75">
      <c r="A71" s="144" t="s">
        <v>673</v>
      </c>
    </row>
    <row r="73" ht="12.75">
      <c r="A73" s="144" t="s">
        <v>232</v>
      </c>
    </row>
    <row r="75" spans="2:13" ht="12.75">
      <c r="B75" s="144" t="s">
        <v>233</v>
      </c>
      <c r="M75" s="144" t="s">
        <v>234</v>
      </c>
    </row>
    <row r="76" ht="13.5" thickBot="1"/>
    <row r="77" spans="2:22" ht="13.5" thickBot="1">
      <c r="B77" s="172" t="s">
        <v>235</v>
      </c>
      <c r="C77" s="173">
        <f>COUNTIF(E77:K77,"&gt;0")</f>
        <v>6</v>
      </c>
      <c r="D77" s="174"/>
      <c r="E77" s="175" t="s">
        <v>187</v>
      </c>
      <c r="F77" s="9">
        <f aca="true" t="shared" si="1" ref="F77:K77">COUNTA(F79:F82)</f>
        <v>2</v>
      </c>
      <c r="G77" s="9">
        <f t="shared" si="1"/>
        <v>2</v>
      </c>
      <c r="H77" s="9">
        <f t="shared" si="1"/>
        <v>2</v>
      </c>
      <c r="I77" s="9">
        <f t="shared" si="1"/>
        <v>3</v>
      </c>
      <c r="J77" s="9">
        <f t="shared" si="1"/>
        <v>3</v>
      </c>
      <c r="K77" s="10">
        <f t="shared" si="1"/>
        <v>3</v>
      </c>
      <c r="M77" s="172" t="s">
        <v>236</v>
      </c>
      <c r="N77" s="173">
        <f>COUNTIF(P77:V77,"&gt;0")</f>
        <v>6</v>
      </c>
      <c r="O77" s="174"/>
      <c r="P77" s="175" t="s">
        <v>187</v>
      </c>
      <c r="Q77" s="9">
        <f aca="true" t="shared" si="2" ref="Q77:V77">COUNTA(Q79:Q82)</f>
        <v>2</v>
      </c>
      <c r="R77" s="9">
        <f t="shared" si="2"/>
        <v>2</v>
      </c>
      <c r="S77" s="9">
        <f t="shared" si="2"/>
        <v>2</v>
      </c>
      <c r="T77" s="9">
        <f t="shared" si="2"/>
        <v>3</v>
      </c>
      <c r="U77" s="9">
        <f t="shared" si="2"/>
        <v>3</v>
      </c>
      <c r="V77" s="10">
        <f t="shared" si="2"/>
        <v>3</v>
      </c>
    </row>
    <row r="78" spans="2:22" ht="44.25" thickBot="1">
      <c r="B78" s="176"/>
      <c r="C78" s="177" t="s">
        <v>188</v>
      </c>
      <c r="D78" s="177" t="s">
        <v>189</v>
      </c>
      <c r="E78" s="178" t="s">
        <v>190</v>
      </c>
      <c r="F78" s="5"/>
      <c r="G78" s="6"/>
      <c r="H78" s="6"/>
      <c r="I78" s="6"/>
      <c r="J78" s="6"/>
      <c r="K78" s="8"/>
      <c r="M78" s="176"/>
      <c r="N78" s="177" t="s">
        <v>188</v>
      </c>
      <c r="O78" s="177" t="s">
        <v>189</v>
      </c>
      <c r="P78" s="178" t="s">
        <v>190</v>
      </c>
      <c r="Q78" s="5"/>
      <c r="R78" s="6"/>
      <c r="S78" s="6"/>
      <c r="T78" s="6"/>
      <c r="U78" s="6"/>
      <c r="V78" s="8"/>
    </row>
    <row r="79" spans="2:22" ht="12.75">
      <c r="B79" s="1" t="s">
        <v>237</v>
      </c>
      <c r="C79" s="179">
        <f>COUNTA(F79:K79)</f>
        <v>6</v>
      </c>
      <c r="D79" s="180">
        <f>INT(COUNT(F79:K79)/10)</f>
        <v>0</v>
      </c>
      <c r="E79" s="181">
        <f>C_S_G(F79:K79,F77:K77,LISYRA_table,C77,D79)</f>
        <v>1</v>
      </c>
      <c r="F79" s="12">
        <v>1</v>
      </c>
      <c r="G79" s="13">
        <v>1</v>
      </c>
      <c r="H79" s="13">
        <v>1</v>
      </c>
      <c r="I79" s="13">
        <v>1</v>
      </c>
      <c r="J79" s="13">
        <v>1</v>
      </c>
      <c r="K79" s="20">
        <v>1</v>
      </c>
      <c r="M79" s="1" t="s">
        <v>237</v>
      </c>
      <c r="N79" s="179">
        <f>COUNTA(Q79:V79)</f>
        <v>6</v>
      </c>
      <c r="O79" s="180">
        <f>INT(COUNT(Q79:V79)/10)</f>
        <v>0</v>
      </c>
      <c r="P79" s="181">
        <f>C_S_G(Q79:V79,Q77:V77,csg_table,N77,O79)</f>
        <v>1</v>
      </c>
      <c r="Q79" s="12">
        <v>1</v>
      </c>
      <c r="R79" s="13">
        <v>1</v>
      </c>
      <c r="S79" s="13">
        <v>1</v>
      </c>
      <c r="T79" s="13">
        <v>1</v>
      </c>
      <c r="U79" s="13">
        <v>1</v>
      </c>
      <c r="V79" s="20">
        <v>1</v>
      </c>
    </row>
    <row r="80" spans="2:22" ht="12.75">
      <c r="B80" s="1" t="s">
        <v>238</v>
      </c>
      <c r="C80" s="182">
        <f>COUNTA(F80:K80)</f>
        <v>3</v>
      </c>
      <c r="D80" s="183">
        <f>INT(COUNT(F80:K80)/10)</f>
        <v>0</v>
      </c>
      <c r="E80" s="184">
        <f>C_S_G(F80:K80,F77:K77,LISYRA_table,C77,D80)</f>
        <v>0.4</v>
      </c>
      <c r="F80" s="14">
        <v>2</v>
      </c>
      <c r="G80" s="15">
        <v>2</v>
      </c>
      <c r="H80" s="15">
        <v>2</v>
      </c>
      <c r="I80" s="15"/>
      <c r="J80" s="15"/>
      <c r="K80" s="16"/>
      <c r="M80" s="1" t="s">
        <v>238</v>
      </c>
      <c r="N80" s="182">
        <f>COUNTA(Q80:V80)</f>
        <v>3</v>
      </c>
      <c r="O80" s="183">
        <f>INT(COUNT(Q80:V80)/10)</f>
        <v>0</v>
      </c>
      <c r="P80" s="184">
        <f>C_S_G(Q80:V80,Q77:V77,csg_table,N77,O80)</f>
        <v>0.7</v>
      </c>
      <c r="Q80" s="14">
        <v>2</v>
      </c>
      <c r="R80" s="15">
        <v>2</v>
      </c>
      <c r="S80" s="15">
        <v>2</v>
      </c>
      <c r="T80" s="15"/>
      <c r="U80" s="15"/>
      <c r="V80" s="16"/>
    </row>
    <row r="81" spans="2:22" ht="12.75">
      <c r="B81" s="1" t="s">
        <v>239</v>
      </c>
      <c r="C81" s="182">
        <f>COUNTA(F81:K81)</f>
        <v>3</v>
      </c>
      <c r="D81" s="183">
        <f>INT(COUNT(F81:K81)/10)</f>
        <v>0</v>
      </c>
      <c r="E81" s="184">
        <f>C_S_G(F81:K81,F77:K77,LISYRA_table,C77,D81)</f>
        <v>0.8064516129032258</v>
      </c>
      <c r="F81" s="14"/>
      <c r="G81" s="15"/>
      <c r="H81" s="15"/>
      <c r="I81" s="15">
        <v>2</v>
      </c>
      <c r="J81" s="15">
        <v>2</v>
      </c>
      <c r="K81" s="16">
        <v>2</v>
      </c>
      <c r="M81" s="1" t="s">
        <v>239</v>
      </c>
      <c r="N81" s="182">
        <f>COUNTA(Q81:V81)</f>
        <v>3</v>
      </c>
      <c r="O81" s="183">
        <f>INT(COUNT(Q81:V81)/10)</f>
        <v>0</v>
      </c>
      <c r="P81" s="184">
        <f>C_S_G(Q81:V81,Q77:V77,csg_table,N77,O81)</f>
        <v>0.8064516129032258</v>
      </c>
      <c r="Q81" s="14"/>
      <c r="R81" s="15"/>
      <c r="S81" s="15"/>
      <c r="T81" s="15">
        <v>2</v>
      </c>
      <c r="U81" s="15">
        <v>2</v>
      </c>
      <c r="V81" s="16">
        <v>2</v>
      </c>
    </row>
    <row r="82" spans="2:22" ht="13.5" thickBot="1">
      <c r="B82" s="2" t="s">
        <v>240</v>
      </c>
      <c r="C82" s="185">
        <f>COUNTA(F82:K82)</f>
        <v>3</v>
      </c>
      <c r="D82" s="186">
        <f>INT(COUNT(F82:K82)/10)</f>
        <v>0</v>
      </c>
      <c r="E82" s="187">
        <f>C_S_G(F82:K82,F77:K77,LISYRA_table,C77,D82)</f>
        <v>0.6774193548387096</v>
      </c>
      <c r="F82" s="17"/>
      <c r="G82" s="18"/>
      <c r="H82" s="18"/>
      <c r="I82" s="18">
        <v>3</v>
      </c>
      <c r="J82" s="18">
        <v>3</v>
      </c>
      <c r="K82" s="19">
        <v>3</v>
      </c>
      <c r="M82" s="2" t="s">
        <v>240</v>
      </c>
      <c r="N82" s="185">
        <f>COUNTA(Q82:V82)</f>
        <v>3</v>
      </c>
      <c r="O82" s="186">
        <f>INT(COUNT(Q82:V82)/10)</f>
        <v>0</v>
      </c>
      <c r="P82" s="187">
        <f>C_S_G(Q82:V82,Q77:V77,csg_table,N77,O82)</f>
        <v>0.6774193548387096</v>
      </c>
      <c r="Q82" s="17"/>
      <c r="R82" s="18"/>
      <c r="S82" s="18"/>
      <c r="T82" s="18">
        <v>3</v>
      </c>
      <c r="U82" s="18">
        <v>3</v>
      </c>
      <c r="V82" s="19">
        <v>3</v>
      </c>
    </row>
    <row r="84" ht="12.75">
      <c r="A84" s="144" t="s">
        <v>241</v>
      </c>
    </row>
    <row r="85" ht="12.75">
      <c r="A85" s="144" t="s">
        <v>242</v>
      </c>
    </row>
    <row r="86" ht="12.75">
      <c r="A86" s="144" t="s">
        <v>243</v>
      </c>
    </row>
    <row r="87" spans="1:17" ht="12.75">
      <c r="A87" s="144" t="s">
        <v>244</v>
      </c>
      <c r="Q87" s="144" t="s">
        <v>191</v>
      </c>
    </row>
    <row r="88" ht="12.75">
      <c r="A88" s="144" t="s">
        <v>245</v>
      </c>
    </row>
    <row r="89" ht="12.75">
      <c r="A89" s="144" t="s">
        <v>246</v>
      </c>
    </row>
    <row r="90" ht="12.75">
      <c r="A90" s="144" t="s">
        <v>247</v>
      </c>
    </row>
    <row r="91" ht="12.75">
      <c r="A91" s="144" t="s">
        <v>248</v>
      </c>
    </row>
    <row r="93" ht="12.75">
      <c r="A93" s="144" t="s">
        <v>249</v>
      </c>
    </row>
    <row r="95" spans="2:13" ht="12.75">
      <c r="B95" s="144" t="s">
        <v>233</v>
      </c>
      <c r="M95" s="144" t="s">
        <v>234</v>
      </c>
    </row>
    <row r="96" ht="13.5" thickBot="1"/>
    <row r="97" spans="2:22" ht="13.5" thickBot="1">
      <c r="B97" s="172" t="s">
        <v>250</v>
      </c>
      <c r="C97" s="173">
        <f>COUNTIF(E97:K97,"&gt;0")</f>
        <v>6</v>
      </c>
      <c r="D97" s="174"/>
      <c r="E97" s="175" t="s">
        <v>187</v>
      </c>
      <c r="F97" s="9">
        <f aca="true" t="shared" si="3" ref="F97:K97">COUNTA(F99:F102)</f>
        <v>2</v>
      </c>
      <c r="G97" s="9">
        <f t="shared" si="3"/>
        <v>2</v>
      </c>
      <c r="H97" s="9">
        <f t="shared" si="3"/>
        <v>2</v>
      </c>
      <c r="I97" s="9">
        <f t="shared" si="3"/>
        <v>4</v>
      </c>
      <c r="J97" s="9">
        <f t="shared" si="3"/>
        <v>3</v>
      </c>
      <c r="K97" s="10">
        <f t="shared" si="3"/>
        <v>3</v>
      </c>
      <c r="M97" s="188"/>
      <c r="N97" s="173">
        <f>COUNTIF(P97:V97,"&gt;0")</f>
        <v>6</v>
      </c>
      <c r="O97" s="174"/>
      <c r="P97" s="175" t="s">
        <v>187</v>
      </c>
      <c r="Q97" s="9">
        <f aca="true" t="shared" si="4" ref="Q97:V97">COUNTA(Q99:Q102)</f>
        <v>2</v>
      </c>
      <c r="R97" s="9">
        <f t="shared" si="4"/>
        <v>2</v>
      </c>
      <c r="S97" s="9">
        <f t="shared" si="4"/>
        <v>2</v>
      </c>
      <c r="T97" s="9">
        <f t="shared" si="4"/>
        <v>4</v>
      </c>
      <c r="U97" s="9">
        <f t="shared" si="4"/>
        <v>3</v>
      </c>
      <c r="V97" s="10">
        <f t="shared" si="4"/>
        <v>3</v>
      </c>
    </row>
    <row r="98" spans="2:22" ht="44.25" thickBot="1">
      <c r="B98" s="176"/>
      <c r="C98" s="177" t="s">
        <v>188</v>
      </c>
      <c r="D98" s="177" t="s">
        <v>189</v>
      </c>
      <c r="E98" s="178" t="s">
        <v>190</v>
      </c>
      <c r="F98" s="5"/>
      <c r="G98" s="6"/>
      <c r="H98" s="6"/>
      <c r="I98" s="6"/>
      <c r="J98" s="6"/>
      <c r="K98" s="8"/>
      <c r="M98" s="176"/>
      <c r="N98" s="177" t="s">
        <v>188</v>
      </c>
      <c r="O98" s="177" t="s">
        <v>189</v>
      </c>
      <c r="P98" s="178" t="s">
        <v>190</v>
      </c>
      <c r="Q98" s="5"/>
      <c r="R98" s="6"/>
      <c r="S98" s="6"/>
      <c r="T98" s="6"/>
      <c r="U98" s="6"/>
      <c r="V98" s="8"/>
    </row>
    <row r="99" spans="2:22" ht="12.75">
      <c r="B99" s="1" t="s">
        <v>237</v>
      </c>
      <c r="C99" s="179">
        <f>COUNTA(F99:K99)</f>
        <v>6</v>
      </c>
      <c r="D99" s="180">
        <f>INT(COUNT(F99:K99)/10)</f>
        <v>0</v>
      </c>
      <c r="E99" s="181">
        <f>C_S_G(F99:K99,F97:K97,LISYRA_table,C97,D99)</f>
        <v>1</v>
      </c>
      <c r="F99" s="12">
        <v>1</v>
      </c>
      <c r="G99" s="13">
        <v>1</v>
      </c>
      <c r="H99" s="13">
        <v>1</v>
      </c>
      <c r="I99" s="13">
        <v>1</v>
      </c>
      <c r="J99" s="13">
        <v>1</v>
      </c>
      <c r="K99" s="20">
        <v>1</v>
      </c>
      <c r="M99" s="1" t="s">
        <v>237</v>
      </c>
      <c r="N99" s="179">
        <f>COUNTA(Q99:V99)</f>
        <v>6</v>
      </c>
      <c r="O99" s="180">
        <f>INT(COUNT(Q99:V99)/10)</f>
        <v>0</v>
      </c>
      <c r="P99" s="181">
        <f>C_S_G(Q99:V99,Q97:V97,csg_table,N97,O99)</f>
        <v>1</v>
      </c>
      <c r="Q99" s="12">
        <v>1</v>
      </c>
      <c r="R99" s="13">
        <v>1</v>
      </c>
      <c r="S99" s="13">
        <v>1</v>
      </c>
      <c r="T99" s="13">
        <v>1</v>
      </c>
      <c r="U99" s="13">
        <v>1</v>
      </c>
      <c r="V99" s="20">
        <v>1</v>
      </c>
    </row>
    <row r="100" spans="2:22" ht="12.75">
      <c r="B100" s="1" t="s">
        <v>238</v>
      </c>
      <c r="C100" s="182">
        <f>COUNTA(F100:K100)</f>
        <v>4</v>
      </c>
      <c r="D100" s="183">
        <f>INT(COUNT(F100:K100)/10)</f>
        <v>0</v>
      </c>
      <c r="E100" s="184">
        <f>C_S_G(F100:K100,F97:K97,LISYRA_table,C97,D100)</f>
        <v>0.6712328767123288</v>
      </c>
      <c r="F100" s="14">
        <v>2</v>
      </c>
      <c r="G100" s="15">
        <v>2</v>
      </c>
      <c r="H100" s="15">
        <v>2</v>
      </c>
      <c r="I100" s="15">
        <v>2</v>
      </c>
      <c r="J100" s="15"/>
      <c r="K100" s="16"/>
      <c r="M100" s="1" t="s">
        <v>238</v>
      </c>
      <c r="N100" s="182">
        <f>COUNTA(Q100:V100)</f>
        <v>4</v>
      </c>
      <c r="O100" s="183">
        <f>INT(COUNT(Q100:V100)/10)</f>
        <v>0</v>
      </c>
      <c r="P100" s="184">
        <f>C_S_G(Q100:V100,Q97:V97,csg_table,N97,O100)</f>
        <v>0.7945205479452054</v>
      </c>
      <c r="Q100" s="14">
        <v>2</v>
      </c>
      <c r="R100" s="15">
        <v>2</v>
      </c>
      <c r="S100" s="15">
        <v>2</v>
      </c>
      <c r="T100" s="15">
        <v>2</v>
      </c>
      <c r="U100" s="15"/>
      <c r="V100" s="16"/>
    </row>
    <row r="101" spans="2:22" ht="12.75">
      <c r="B101" s="1" t="s">
        <v>239</v>
      </c>
      <c r="C101" s="182">
        <f>COUNTA(F101:K101)</f>
        <v>3</v>
      </c>
      <c r="D101" s="183">
        <f>INT(COUNT(F101:K101)/10)</f>
        <v>0</v>
      </c>
      <c r="E101" s="184">
        <f>C_S_G(F101:K101,F97:K97,LISYRA_table,C97,D101)</f>
        <v>0.7904761904761904</v>
      </c>
      <c r="F101" s="14"/>
      <c r="G101" s="15"/>
      <c r="H101" s="15"/>
      <c r="I101" s="15">
        <v>3</v>
      </c>
      <c r="J101" s="15">
        <v>2</v>
      </c>
      <c r="K101" s="16">
        <v>2</v>
      </c>
      <c r="M101" s="1" t="s">
        <v>239</v>
      </c>
      <c r="N101" s="182">
        <f>COUNTA(Q101:V101)</f>
        <v>3</v>
      </c>
      <c r="O101" s="183">
        <f>INT(COUNT(Q101:V101)/10)</f>
        <v>0</v>
      </c>
      <c r="P101" s="184">
        <f>C_S_G(Q101:V101,Q97:V97,csg_table,N97,O101)</f>
        <v>0.7904761904761904</v>
      </c>
      <c r="Q101" s="14"/>
      <c r="R101" s="15"/>
      <c r="S101" s="15"/>
      <c r="T101" s="15">
        <v>3</v>
      </c>
      <c r="U101" s="15">
        <v>2</v>
      </c>
      <c r="V101" s="16">
        <v>2</v>
      </c>
    </row>
    <row r="102" spans="2:22" ht="13.5" thickBot="1">
      <c r="B102" s="2" t="s">
        <v>240</v>
      </c>
      <c r="C102" s="185">
        <f>COUNTA(F102:K102)</f>
        <v>3</v>
      </c>
      <c r="D102" s="186">
        <f>INT(COUNT(F102:K102)/10)</f>
        <v>0</v>
      </c>
      <c r="E102" s="187">
        <f>C_S_G(F102:K102,F97:K97,LISYRA_table,C97,D102)</f>
        <v>0.6761904761904762</v>
      </c>
      <c r="F102" s="17"/>
      <c r="G102" s="18"/>
      <c r="H102" s="18"/>
      <c r="I102" s="18">
        <v>4</v>
      </c>
      <c r="J102" s="18">
        <v>3</v>
      </c>
      <c r="K102" s="19">
        <v>3</v>
      </c>
      <c r="M102" s="2" t="s">
        <v>240</v>
      </c>
      <c r="N102" s="185">
        <f>COUNTA(Q102:V102)</f>
        <v>3</v>
      </c>
      <c r="O102" s="186">
        <f>INT(COUNT(Q102:V102)/10)</f>
        <v>0</v>
      </c>
      <c r="P102" s="187">
        <f>C_S_G(Q102:V102,Q97:V97,csg_table,N97,O102)</f>
        <v>0.6761904761904762</v>
      </c>
      <c r="Q102" s="17"/>
      <c r="R102" s="18"/>
      <c r="S102" s="18"/>
      <c r="T102" s="18">
        <v>4</v>
      </c>
      <c r="U102" s="18">
        <v>3</v>
      </c>
      <c r="V102" s="19">
        <v>3</v>
      </c>
    </row>
    <row r="104" ht="12.75">
      <c r="A104" s="144" t="s">
        <v>251</v>
      </c>
    </row>
    <row r="105" ht="12.75">
      <c r="A105" s="144" t="s">
        <v>252</v>
      </c>
    </row>
    <row r="106" ht="12.75">
      <c r="A106" s="144" t="s">
        <v>253</v>
      </c>
    </row>
    <row r="107" ht="12.75">
      <c r="A107" s="144" t="s">
        <v>254</v>
      </c>
    </row>
    <row r="108" ht="12.75">
      <c r="A108" s="144" t="s">
        <v>255</v>
      </c>
    </row>
    <row r="109" spans="1:5" ht="12.75">
      <c r="A109" s="144" t="s">
        <v>256</v>
      </c>
      <c r="E109" s="144" t="s">
        <v>191</v>
      </c>
    </row>
    <row r="110" ht="12.75">
      <c r="A110" s="144" t="s">
        <v>257</v>
      </c>
    </row>
    <row r="112" ht="12.75">
      <c r="A112" s="144" t="s">
        <v>258</v>
      </c>
    </row>
    <row r="114" ht="12.75">
      <c r="A114" s="144" t="s">
        <v>259</v>
      </c>
    </row>
    <row r="115" ht="12.75">
      <c r="A115" s="144" t="s">
        <v>260</v>
      </c>
    </row>
    <row r="117" spans="2:13" ht="12.75">
      <c r="B117" s="144" t="s">
        <v>233</v>
      </c>
      <c r="M117" s="144" t="s">
        <v>234</v>
      </c>
    </row>
    <row r="118" ht="13.5" thickBot="1"/>
    <row r="119" spans="2:22" ht="13.5" thickBot="1">
      <c r="B119" s="172" t="s">
        <v>250</v>
      </c>
      <c r="C119" s="173">
        <f>COUNTIF(E119:K119,"&gt;0")</f>
        <v>6</v>
      </c>
      <c r="D119" s="174"/>
      <c r="E119" s="175" t="s">
        <v>187</v>
      </c>
      <c r="F119" s="9">
        <f aca="true" t="shared" si="5" ref="F119:K119">COUNTA(F121:F124)</f>
        <v>2</v>
      </c>
      <c r="G119" s="9">
        <f t="shared" si="5"/>
        <v>2</v>
      </c>
      <c r="H119" s="9">
        <f t="shared" si="5"/>
        <v>2</v>
      </c>
      <c r="I119" s="9">
        <f t="shared" si="5"/>
        <v>4</v>
      </c>
      <c r="J119" s="9">
        <f t="shared" si="5"/>
        <v>3</v>
      </c>
      <c r="K119" s="10">
        <f t="shared" si="5"/>
        <v>2</v>
      </c>
      <c r="M119" s="188"/>
      <c r="N119" s="173">
        <f>COUNTIF(P119:V119,"&gt;0")</f>
        <v>6</v>
      </c>
      <c r="O119" s="174"/>
      <c r="P119" s="175" t="s">
        <v>187</v>
      </c>
      <c r="Q119" s="9">
        <f aca="true" t="shared" si="6" ref="Q119:V119">COUNTA(Q121:Q124)</f>
        <v>2</v>
      </c>
      <c r="R119" s="9">
        <f t="shared" si="6"/>
        <v>2</v>
      </c>
      <c r="S119" s="9">
        <f t="shared" si="6"/>
        <v>2</v>
      </c>
      <c r="T119" s="9">
        <f t="shared" si="6"/>
        <v>4</v>
      </c>
      <c r="U119" s="9">
        <f t="shared" si="6"/>
        <v>3</v>
      </c>
      <c r="V119" s="10">
        <f t="shared" si="6"/>
        <v>2</v>
      </c>
    </row>
    <row r="120" spans="2:22" ht="44.25" thickBot="1">
      <c r="B120" s="176"/>
      <c r="C120" s="177" t="s">
        <v>188</v>
      </c>
      <c r="D120" s="177" t="s">
        <v>189</v>
      </c>
      <c r="E120" s="178" t="s">
        <v>190</v>
      </c>
      <c r="F120" s="5"/>
      <c r="G120" s="6"/>
      <c r="H120" s="6"/>
      <c r="I120" s="6"/>
      <c r="J120" s="6"/>
      <c r="K120" s="8"/>
      <c r="M120" s="176"/>
      <c r="N120" s="177" t="s">
        <v>188</v>
      </c>
      <c r="O120" s="177" t="s">
        <v>189</v>
      </c>
      <c r="P120" s="178" t="s">
        <v>190</v>
      </c>
      <c r="Q120" s="5"/>
      <c r="R120" s="6"/>
      <c r="S120" s="6"/>
      <c r="T120" s="6"/>
      <c r="U120" s="6"/>
      <c r="V120" s="8"/>
    </row>
    <row r="121" spans="2:22" ht="12.75">
      <c r="B121" s="1" t="s">
        <v>237</v>
      </c>
      <c r="C121" s="179">
        <f>COUNTA(F121:K121)</f>
        <v>5</v>
      </c>
      <c r="D121" s="180">
        <f>INT(COUNT(F121:K121)/10)</f>
        <v>0</v>
      </c>
      <c r="E121" s="181">
        <f>C_S_G(F121:K121,F119:K119,LISYRA_table,C119,D121)</f>
        <v>0.8554216867469879</v>
      </c>
      <c r="F121" s="12">
        <v>1</v>
      </c>
      <c r="G121" s="13">
        <v>2</v>
      </c>
      <c r="H121" s="13">
        <v>1</v>
      </c>
      <c r="I121" s="13">
        <v>2</v>
      </c>
      <c r="J121" s="13"/>
      <c r="K121" s="20">
        <v>1</v>
      </c>
      <c r="M121" s="1" t="s">
        <v>237</v>
      </c>
      <c r="N121" s="179">
        <f>COUNTA(Q121:V121)</f>
        <v>5</v>
      </c>
      <c r="O121" s="180">
        <f>INT(COUNT(Q121:V121)/10)</f>
        <v>0</v>
      </c>
      <c r="P121" s="181">
        <f>C_S_G(Q121:V121,Q119:V119,csg_table,N119,O121)</f>
        <v>0.891566265060241</v>
      </c>
      <c r="Q121" s="12">
        <v>1</v>
      </c>
      <c r="R121" s="13">
        <v>2</v>
      </c>
      <c r="S121" s="13">
        <v>1</v>
      </c>
      <c r="T121" s="13">
        <v>2</v>
      </c>
      <c r="U121" s="13"/>
      <c r="V121" s="20">
        <v>1</v>
      </c>
    </row>
    <row r="122" spans="2:22" ht="12.75">
      <c r="B122" s="1" t="s">
        <v>238</v>
      </c>
      <c r="C122" s="182">
        <f>COUNTA(F122:K122)</f>
        <v>5</v>
      </c>
      <c r="D122" s="183">
        <f>INT(COUNT(F122:K122)/10)</f>
        <v>0</v>
      </c>
      <c r="E122" s="184">
        <f>C_S_G(F122:K122,F119:K119,LISYRA_table,C119,D122)</f>
        <v>0.8846153846153846</v>
      </c>
      <c r="F122" s="14">
        <v>2</v>
      </c>
      <c r="G122" s="15">
        <v>1</v>
      </c>
      <c r="H122" s="15">
        <v>2</v>
      </c>
      <c r="I122" s="15">
        <v>1</v>
      </c>
      <c r="J122" s="15">
        <v>1</v>
      </c>
      <c r="K122" s="16"/>
      <c r="M122" s="1" t="s">
        <v>238</v>
      </c>
      <c r="N122" s="182">
        <f>COUNTA(Q122:V122)</f>
        <v>5</v>
      </c>
      <c r="O122" s="183">
        <f>INT(COUNT(Q122:V122)/10)</f>
        <v>0</v>
      </c>
      <c r="P122" s="184">
        <f>C_S_G(Q122:V122,Q119:V119,csg_table,N119,O122)</f>
        <v>0.9423076923076923</v>
      </c>
      <c r="Q122" s="14">
        <v>2</v>
      </c>
      <c r="R122" s="15">
        <v>1</v>
      </c>
      <c r="S122" s="15">
        <v>2</v>
      </c>
      <c r="T122" s="15">
        <v>1</v>
      </c>
      <c r="U122" s="15">
        <v>1</v>
      </c>
      <c r="V122" s="16"/>
    </row>
    <row r="123" spans="2:22" ht="12.75">
      <c r="B123" s="1" t="s">
        <v>239</v>
      </c>
      <c r="C123" s="182">
        <f>COUNTA(F123:K123)</f>
        <v>3</v>
      </c>
      <c r="D123" s="183">
        <f>INT(COUNT(F123:K123)/10)</f>
        <v>0</v>
      </c>
      <c r="E123" s="184">
        <f>C_S_G(F123:K123,F119:K119,LISYRA_table,C119,D123)</f>
        <v>0.6428571428571429</v>
      </c>
      <c r="F123" s="14"/>
      <c r="G123" s="15"/>
      <c r="H123" s="15"/>
      <c r="I123" s="15">
        <v>4</v>
      </c>
      <c r="J123" s="15">
        <v>3</v>
      </c>
      <c r="K123" s="16">
        <v>2</v>
      </c>
      <c r="M123" s="1" t="s">
        <v>239</v>
      </c>
      <c r="N123" s="182">
        <f>COUNTA(Q123:V123)</f>
        <v>3</v>
      </c>
      <c r="O123" s="183">
        <f>INT(COUNT(Q123:V123)/10)</f>
        <v>0</v>
      </c>
      <c r="P123" s="184">
        <f>C_S_G(Q123:V123,Q119:V119,csg_table,N119,O123)</f>
        <v>0.6785714285714286</v>
      </c>
      <c r="Q123" s="14"/>
      <c r="R123" s="15"/>
      <c r="S123" s="15"/>
      <c r="T123" s="15">
        <v>4</v>
      </c>
      <c r="U123" s="15">
        <v>3</v>
      </c>
      <c r="V123" s="16">
        <v>2</v>
      </c>
    </row>
    <row r="124" spans="2:22" ht="13.5" thickBot="1">
      <c r="B124" s="2" t="s">
        <v>240</v>
      </c>
      <c r="C124" s="185">
        <f>COUNTA(F124:K124)</f>
        <v>2</v>
      </c>
      <c r="D124" s="186">
        <f>INT(COUNT(F124:K124)/10)</f>
        <v>0</v>
      </c>
      <c r="E124" s="187">
        <f>C_S_G(F124:K124,F119:K119,LISYRA_table,C119,D124)</f>
        <v>0.7837837837837838</v>
      </c>
      <c r="F124" s="17"/>
      <c r="G124" s="18"/>
      <c r="H124" s="18"/>
      <c r="I124" s="18">
        <v>3</v>
      </c>
      <c r="J124" s="18">
        <v>2</v>
      </c>
      <c r="K124" s="19"/>
      <c r="M124" s="2" t="s">
        <v>240</v>
      </c>
      <c r="N124" s="185">
        <f>COUNTA(Q124:V124)</f>
        <v>2</v>
      </c>
      <c r="O124" s="186">
        <f>INT(COUNT(Q124:V124)/10)</f>
        <v>0</v>
      </c>
      <c r="P124" s="187">
        <f>C_S_G(Q124:V124,Q119:V119,csg_table,N119,O124)</f>
        <v>0.7837837837837838</v>
      </c>
      <c r="Q124" s="17"/>
      <c r="R124" s="18"/>
      <c r="S124" s="18"/>
      <c r="T124" s="18">
        <v>3</v>
      </c>
      <c r="U124" s="18">
        <v>2</v>
      </c>
      <c r="V124" s="19"/>
    </row>
    <row r="127" ht="12.75">
      <c r="A127" s="144" t="s">
        <v>261</v>
      </c>
    </row>
    <row r="128" ht="12.75">
      <c r="A128" s="144" t="s">
        <v>674</v>
      </c>
    </row>
    <row r="130" ht="15.75">
      <c r="A130" s="4" t="s">
        <v>112</v>
      </c>
    </row>
    <row r="131" ht="15.75">
      <c r="A131" s="4"/>
    </row>
    <row r="132" ht="12.75">
      <c r="A132" s="144" t="s">
        <v>1160</v>
      </c>
    </row>
    <row r="133" ht="12.75">
      <c r="A133" s="144" t="s">
        <v>1161</v>
      </c>
    </row>
    <row r="134" ht="12.75">
      <c r="A134" s="144" t="s">
        <v>1162</v>
      </c>
    </row>
    <row r="135" ht="12.75">
      <c r="A135" s="144" t="s">
        <v>1163</v>
      </c>
    </row>
    <row r="136" ht="12.75">
      <c r="A136" s="144" t="s">
        <v>1162</v>
      </c>
    </row>
    <row r="137" ht="12.75">
      <c r="A137" s="144" t="s">
        <v>1164</v>
      </c>
    </row>
    <row r="138" ht="12.75">
      <c r="A138" s="144" t="s">
        <v>1162</v>
      </c>
    </row>
    <row r="139" ht="12.75">
      <c r="A139" s="144" t="s">
        <v>1165</v>
      </c>
    </row>
    <row r="140" ht="12.75">
      <c r="A140" s="144" t="s">
        <v>1166</v>
      </c>
    </row>
    <row r="141" ht="12.75">
      <c r="A141" s="144" t="s">
        <v>1167</v>
      </c>
    </row>
    <row r="142" ht="12.75">
      <c r="A142" s="144" t="s">
        <v>1168</v>
      </c>
    </row>
    <row r="143" ht="12.75">
      <c r="A143" s="144" t="s">
        <v>1162</v>
      </c>
    </row>
    <row r="144" ht="12.75">
      <c r="A144" s="144" t="s">
        <v>1169</v>
      </c>
    </row>
    <row r="145" ht="12.75">
      <c r="A145" s="144" t="s">
        <v>1162</v>
      </c>
    </row>
    <row r="146" ht="12.75">
      <c r="A146" s="144" t="s">
        <v>1170</v>
      </c>
    </row>
    <row r="147" ht="12.75">
      <c r="A147" s="144" t="s">
        <v>1171</v>
      </c>
    </row>
    <row r="148" ht="12.75">
      <c r="A148" s="144" t="s">
        <v>1172</v>
      </c>
    </row>
    <row r="149" ht="12.75">
      <c r="A149" s="144" t="s">
        <v>1173</v>
      </c>
    </row>
    <row r="150" ht="12.75">
      <c r="A150" s="144" t="s">
        <v>1174</v>
      </c>
    </row>
    <row r="151" ht="12.75">
      <c r="A151" s="144" t="s">
        <v>1175</v>
      </c>
    </row>
    <row r="152" ht="12.75">
      <c r="A152" s="144" t="s">
        <v>1176</v>
      </c>
    </row>
    <row r="153" ht="12.75">
      <c r="A153" s="144" t="s">
        <v>1177</v>
      </c>
    </row>
    <row r="154" ht="12.75">
      <c r="A154" s="144" t="s">
        <v>1178</v>
      </c>
    </row>
    <row r="155" ht="12.75">
      <c r="A155" s="144" t="s">
        <v>1179</v>
      </c>
    </row>
    <row r="156" ht="12.75">
      <c r="A156" s="144" t="s">
        <v>1162</v>
      </c>
    </row>
    <row r="157" ht="12.75">
      <c r="A157" s="144" t="s">
        <v>1180</v>
      </c>
    </row>
    <row r="158" ht="12.75">
      <c r="A158" s="144" t="s">
        <v>1162</v>
      </c>
    </row>
    <row r="159" ht="12.75">
      <c r="A159" s="144" t="s">
        <v>1181</v>
      </c>
    </row>
    <row r="160" ht="12.75">
      <c r="A160" s="144" t="s">
        <v>1162</v>
      </c>
    </row>
    <row r="161" ht="12.75">
      <c r="A161" s="144" t="s">
        <v>1182</v>
      </c>
    </row>
    <row r="162" ht="12.75">
      <c r="A162" s="144" t="s">
        <v>1183</v>
      </c>
    </row>
    <row r="163" ht="12.75">
      <c r="A163" s="144" t="s">
        <v>1162</v>
      </c>
    </row>
    <row r="164" ht="12.75">
      <c r="A164" s="144" t="s">
        <v>1184</v>
      </c>
    </row>
    <row r="165" ht="12.75">
      <c r="A165" s="144" t="s">
        <v>1162</v>
      </c>
    </row>
    <row r="166" ht="12.75">
      <c r="A166" s="144" t="s">
        <v>1185</v>
      </c>
    </row>
    <row r="167" ht="12.75">
      <c r="A167" s="144" t="s">
        <v>1162</v>
      </c>
    </row>
    <row r="168" ht="12.75">
      <c r="A168" s="144" t="s">
        <v>1186</v>
      </c>
    </row>
    <row r="169" ht="12.75">
      <c r="A169" s="144" t="s">
        <v>1187</v>
      </c>
    </row>
    <row r="170" ht="12.75">
      <c r="A170" s="144" t="s">
        <v>1188</v>
      </c>
    </row>
    <row r="171" ht="12.75">
      <c r="A171" s="144" t="s">
        <v>1189</v>
      </c>
    </row>
    <row r="172" ht="12.75">
      <c r="A172" s="144" t="s">
        <v>1190</v>
      </c>
    </row>
    <row r="173" ht="12.75">
      <c r="A173" s="144" t="s">
        <v>1230</v>
      </c>
    </row>
    <row r="175" ht="12.75">
      <c r="A175" s="144" t="s">
        <v>1231</v>
      </c>
    </row>
    <row r="177" ht="12.75">
      <c r="A177" s="144" t="s">
        <v>1232</v>
      </c>
    </row>
    <row r="178" ht="12.75">
      <c r="A178" s="144" t="s">
        <v>1233</v>
      </c>
    </row>
    <row r="180" ht="12.75">
      <c r="A180" s="144" t="s">
        <v>1234</v>
      </c>
    </row>
    <row r="182" ht="12.75">
      <c r="A182" s="144" t="s">
        <v>1235</v>
      </c>
    </row>
    <row r="183" ht="12.75">
      <c r="A183" s="144" t="s">
        <v>1236</v>
      </c>
    </row>
    <row r="184" ht="12.75">
      <c r="A184" s="144" t="s">
        <v>1237</v>
      </c>
    </row>
    <row r="185" ht="12.75">
      <c r="A185" s="144" t="s">
        <v>1238</v>
      </c>
    </row>
    <row r="186" ht="12.75">
      <c r="A186" s="144" t="s">
        <v>1239</v>
      </c>
    </row>
    <row r="187" ht="12.75">
      <c r="A187" s="144" t="s">
        <v>1240</v>
      </c>
    </row>
    <row r="188" ht="12.75">
      <c r="A188" s="144" t="s">
        <v>1241</v>
      </c>
    </row>
    <row r="191" ht="12.75">
      <c r="A191" s="144" t="s">
        <v>1242</v>
      </c>
    </row>
    <row r="193" ht="12.75">
      <c r="A193" s="144" t="s">
        <v>0</v>
      </c>
    </row>
    <row r="194" ht="12.75">
      <c r="A194" s="144" t="s">
        <v>1</v>
      </c>
    </row>
    <row r="196" ht="12.75">
      <c r="A196" s="144" t="s">
        <v>2</v>
      </c>
    </row>
    <row r="197" ht="12.75">
      <c r="A197" s="144" t="s">
        <v>3</v>
      </c>
    </row>
    <row r="198" ht="12.75">
      <c r="A198" s="144" t="s">
        <v>4</v>
      </c>
    </row>
    <row r="199" ht="12.75">
      <c r="A199" s="144" t="s">
        <v>5</v>
      </c>
    </row>
    <row r="200" ht="12.75">
      <c r="A200" s="144" t="s">
        <v>6</v>
      </c>
    </row>
    <row r="202" ht="12.75">
      <c r="A202" s="144" t="s">
        <v>7</v>
      </c>
    </row>
    <row r="203" ht="12.75">
      <c r="A203" s="144" t="s">
        <v>8</v>
      </c>
    </row>
    <row r="204" ht="12.75">
      <c r="A204" s="144" t="s">
        <v>9</v>
      </c>
    </row>
    <row r="205" ht="12.75">
      <c r="A205" s="144" t="s">
        <v>10</v>
      </c>
    </row>
    <row r="206" ht="12.75">
      <c r="A206" s="144" t="s">
        <v>11</v>
      </c>
    </row>
    <row r="207" ht="12.75">
      <c r="A207" s="144" t="s">
        <v>12</v>
      </c>
    </row>
    <row r="208" ht="12.75">
      <c r="A208" s="144" t="s">
        <v>14</v>
      </c>
    </row>
    <row r="210" ht="12.75">
      <c r="A210" s="144" t="s">
        <v>15</v>
      </c>
    </row>
    <row r="211" ht="12.75">
      <c r="A211" s="144" t="s">
        <v>16</v>
      </c>
    </row>
    <row r="212" ht="12.75">
      <c r="A212" s="144" t="s">
        <v>17</v>
      </c>
    </row>
    <row r="213" ht="12.75">
      <c r="A213" s="144" t="s">
        <v>18</v>
      </c>
    </row>
    <row r="215" ht="12.75">
      <c r="A215" s="144" t="s">
        <v>19</v>
      </c>
    </row>
    <row r="217" ht="12.75">
      <c r="A217" s="144" t="s">
        <v>20</v>
      </c>
    </row>
    <row r="219" ht="12.75">
      <c r="A219" s="144" t="s">
        <v>21</v>
      </c>
    </row>
    <row r="220" ht="12.75">
      <c r="A220" s="144" t="s">
        <v>22</v>
      </c>
    </row>
    <row r="221" ht="12.75">
      <c r="A221" s="144" t="s">
        <v>23</v>
      </c>
    </row>
    <row r="222" ht="12.75">
      <c r="A222" s="144" t="s">
        <v>24</v>
      </c>
    </row>
    <row r="223" ht="12.75">
      <c r="A223" s="144" t="s">
        <v>25</v>
      </c>
    </row>
    <row r="224" ht="12.75">
      <c r="A224" s="144" t="s">
        <v>26</v>
      </c>
    </row>
    <row r="225" ht="12.75">
      <c r="A225" s="144" t="s">
        <v>27</v>
      </c>
    </row>
    <row r="226" ht="12.75">
      <c r="A226" s="144" t="s">
        <v>28</v>
      </c>
    </row>
    <row r="227" ht="12.75">
      <c r="A227" s="144" t="s">
        <v>29</v>
      </c>
    </row>
    <row r="229" ht="12.75">
      <c r="A229" s="144" t="s">
        <v>30</v>
      </c>
    </row>
    <row r="230" ht="12.75">
      <c r="A230" s="144" t="s">
        <v>31</v>
      </c>
    </row>
    <row r="231" ht="12.75">
      <c r="A231" s="144" t="s">
        <v>32</v>
      </c>
    </row>
    <row r="233" ht="12.75">
      <c r="A233" s="144" t="s">
        <v>33</v>
      </c>
    </row>
    <row r="234" ht="12.75">
      <c r="A234" s="144" t="s">
        <v>34</v>
      </c>
    </row>
    <row r="236" ht="12.75">
      <c r="A236" s="144" t="s">
        <v>35</v>
      </c>
    </row>
    <row r="237" ht="12.75">
      <c r="A237" s="144" t="s">
        <v>36</v>
      </c>
    </row>
    <row r="238" ht="12.75">
      <c r="A238" s="144" t="s">
        <v>37</v>
      </c>
    </row>
    <row r="239" ht="12.75">
      <c r="A239" s="144" t="s">
        <v>38</v>
      </c>
    </row>
    <row r="240" ht="12.75">
      <c r="A240" s="144" t="s">
        <v>39</v>
      </c>
    </row>
    <row r="241" ht="12.75">
      <c r="A241" s="144" t="s">
        <v>40</v>
      </c>
    </row>
    <row r="242" ht="12.75">
      <c r="A242" s="144" t="s">
        <v>41</v>
      </c>
    </row>
    <row r="243" ht="12.75">
      <c r="A243" s="144" t="s">
        <v>42</v>
      </c>
    </row>
    <row r="244" ht="12.75">
      <c r="A244" s="144" t="s">
        <v>43</v>
      </c>
    </row>
    <row r="245" ht="12.75">
      <c r="A245" s="144" t="s">
        <v>44</v>
      </c>
    </row>
    <row r="246" ht="12.75">
      <c r="A246" s="144" t="s">
        <v>45</v>
      </c>
    </row>
    <row r="247" ht="12.75">
      <c r="A247" s="144" t="s">
        <v>46</v>
      </c>
    </row>
    <row r="248" ht="12.75">
      <c r="A248" s="144" t="s">
        <v>47</v>
      </c>
    </row>
    <row r="249" ht="12.75">
      <c r="A249" s="144" t="s">
        <v>48</v>
      </c>
    </row>
    <row r="250" ht="12.75">
      <c r="A250" s="144" t="s">
        <v>49</v>
      </c>
    </row>
    <row r="251" ht="12.75">
      <c r="A251" s="144" t="s">
        <v>50</v>
      </c>
    </row>
    <row r="252" ht="12.75">
      <c r="A252" s="144" t="s">
        <v>51</v>
      </c>
    </row>
    <row r="253" ht="12.75">
      <c r="A253" s="144" t="s">
        <v>52</v>
      </c>
    </row>
    <row r="254" ht="12.75">
      <c r="A254" s="144" t="s">
        <v>40</v>
      </c>
    </row>
    <row r="255" ht="12.75">
      <c r="A255" s="144" t="s">
        <v>53</v>
      </c>
    </row>
    <row r="256" ht="12.75">
      <c r="A256" s="144" t="s">
        <v>54</v>
      </c>
    </row>
    <row r="257" ht="12.75">
      <c r="A257" s="144" t="s">
        <v>55</v>
      </c>
    </row>
    <row r="258" ht="12.75">
      <c r="A258" s="144" t="s">
        <v>52</v>
      </c>
    </row>
    <row r="259" ht="12.75">
      <c r="A259" s="144" t="s">
        <v>56</v>
      </c>
    </row>
    <row r="260" ht="12.75">
      <c r="A260" s="144" t="s">
        <v>57</v>
      </c>
    </row>
    <row r="261" ht="12.75">
      <c r="A261" s="144" t="s">
        <v>40</v>
      </c>
    </row>
    <row r="262" ht="12.75">
      <c r="A262" s="144" t="s">
        <v>58</v>
      </c>
    </row>
    <row r="263" ht="12.75">
      <c r="A263" s="144" t="s">
        <v>59</v>
      </c>
    </row>
    <row r="264" ht="12.75">
      <c r="A264" s="144" t="s">
        <v>60</v>
      </c>
    </row>
    <row r="265" ht="12.75">
      <c r="A265" s="144" t="s">
        <v>61</v>
      </c>
    </row>
    <row r="266" ht="12.75">
      <c r="A266" s="144" t="s">
        <v>62</v>
      </c>
    </row>
    <row r="267" ht="12.75">
      <c r="A267" s="144" t="s">
        <v>63</v>
      </c>
    </row>
    <row r="268" ht="12.75">
      <c r="A268" s="144" t="s">
        <v>64</v>
      </c>
    </row>
    <row r="269" ht="12.75">
      <c r="A269" s="144" t="s">
        <v>65</v>
      </c>
    </row>
    <row r="270" ht="12.75">
      <c r="A270" s="144" t="s">
        <v>66</v>
      </c>
    </row>
    <row r="271" ht="12.75">
      <c r="A271" s="144" t="s">
        <v>67</v>
      </c>
    </row>
    <row r="272" ht="12.75">
      <c r="A272" s="144" t="s">
        <v>68</v>
      </c>
    </row>
    <row r="273" ht="12.75">
      <c r="A273" s="144" t="s">
        <v>69</v>
      </c>
    </row>
    <row r="274" ht="12.75">
      <c r="A274" s="144" t="s">
        <v>37</v>
      </c>
    </row>
    <row r="275" ht="12.75">
      <c r="A275" s="144" t="s">
        <v>70</v>
      </c>
    </row>
    <row r="276" ht="12.75">
      <c r="A276" s="144" t="s">
        <v>37</v>
      </c>
    </row>
    <row r="277" ht="12.75">
      <c r="A277" s="144" t="s">
        <v>71</v>
      </c>
    </row>
    <row r="279" ht="12.75">
      <c r="A279" s="144" t="s">
        <v>72</v>
      </c>
    </row>
    <row r="280" ht="12.75">
      <c r="A280" s="144" t="s">
        <v>73</v>
      </c>
    </row>
    <row r="281" ht="12.75">
      <c r="A281" s="144" t="s">
        <v>74</v>
      </c>
    </row>
    <row r="282" ht="12.75">
      <c r="A282" s="144" t="s">
        <v>1162</v>
      </c>
    </row>
    <row r="283" ht="12.75">
      <c r="A283" s="144" t="s">
        <v>75</v>
      </c>
    </row>
    <row r="284" ht="12.75">
      <c r="A284" s="144" t="s">
        <v>76</v>
      </c>
    </row>
    <row r="285" ht="12.75">
      <c r="A285" s="144" t="s">
        <v>77</v>
      </c>
    </row>
    <row r="286" ht="12.75">
      <c r="A286" s="144" t="s">
        <v>78</v>
      </c>
    </row>
    <row r="288" ht="12.75">
      <c r="A288" s="144" t="s">
        <v>79</v>
      </c>
    </row>
    <row r="289" ht="12.75">
      <c r="A289" s="144" t="s">
        <v>80</v>
      </c>
    </row>
    <row r="290" ht="12.75">
      <c r="A290" s="144" t="s">
        <v>81</v>
      </c>
    </row>
    <row r="291" ht="12.75">
      <c r="A291" s="144" t="s">
        <v>82</v>
      </c>
    </row>
    <row r="292" ht="12.75">
      <c r="A292" s="144" t="s">
        <v>83</v>
      </c>
    </row>
    <row r="293" ht="12.75">
      <c r="A293" s="144" t="s">
        <v>84</v>
      </c>
    </row>
    <row r="294" ht="12.75">
      <c r="A294" s="144" t="s">
        <v>85</v>
      </c>
    </row>
    <row r="295" ht="12.75">
      <c r="A295" s="144" t="s">
        <v>86</v>
      </c>
    </row>
    <row r="296" ht="12.75">
      <c r="A296" s="144" t="s">
        <v>87</v>
      </c>
    </row>
    <row r="297" ht="12.75">
      <c r="A297" s="144" t="s">
        <v>88</v>
      </c>
    </row>
    <row r="298" ht="12.75">
      <c r="A298" s="144" t="s">
        <v>89</v>
      </c>
    </row>
    <row r="299" ht="12.75">
      <c r="A299" s="144" t="s">
        <v>90</v>
      </c>
    </row>
    <row r="300" ht="12.75">
      <c r="A300" s="144" t="s">
        <v>91</v>
      </c>
    </row>
    <row r="301" ht="12.75">
      <c r="A301" s="144" t="s">
        <v>103</v>
      </c>
    </row>
    <row r="302" ht="12.75">
      <c r="A302" s="144" t="s">
        <v>104</v>
      </c>
    </row>
    <row r="303" ht="12.75">
      <c r="A303" s="144" t="s">
        <v>105</v>
      </c>
    </row>
    <row r="304" ht="12.75">
      <c r="A304" s="144" t="s">
        <v>106</v>
      </c>
    </row>
    <row r="305" ht="12.75">
      <c r="A305" s="144" t="s">
        <v>107</v>
      </c>
    </row>
    <row r="306" ht="12.75">
      <c r="A306" s="144" t="s">
        <v>108</v>
      </c>
    </row>
    <row r="307" ht="12.75">
      <c r="A307" s="144" t="s">
        <v>109</v>
      </c>
    </row>
    <row r="308" ht="12.75">
      <c r="A308" s="144" t="s">
        <v>56</v>
      </c>
    </row>
    <row r="309" ht="12.75">
      <c r="A309" s="144" t="s">
        <v>110</v>
      </c>
    </row>
    <row r="310" ht="12.75">
      <c r="A310" s="144" t="s">
        <v>40</v>
      </c>
    </row>
    <row r="311" ht="12.75">
      <c r="A311" s="144" t="s">
        <v>111</v>
      </c>
    </row>
    <row r="312" ht="12.75">
      <c r="A312" s="144" t="s">
        <v>44</v>
      </c>
    </row>
    <row r="313" ht="12.75">
      <c r="A313" s="144" t="s">
        <v>28</v>
      </c>
    </row>
  </sheetData>
  <sheetProtection/>
  <printOptions/>
  <pageMargins left="0.75" right="0.75" top="1" bottom="1" header="0.5" footer="0.5"/>
  <pageSetup horizontalDpi="600" verticalDpi="600" orientation="portrait" r:id="rId1"/>
</worksheet>
</file>

<file path=xl/worksheets/sheet55.xml><?xml version="1.0" encoding="utf-8"?>
<worksheet xmlns="http://schemas.openxmlformats.org/spreadsheetml/2006/main" xmlns:r="http://schemas.openxmlformats.org/officeDocument/2006/relationships">
  <sheetPr codeName="Sheet23"/>
  <dimension ref="A3:E28"/>
  <sheetViews>
    <sheetView zoomScalePageLayoutView="0" workbookViewId="0" topLeftCell="A1">
      <selection activeCell="B10" sqref="B10"/>
    </sheetView>
  </sheetViews>
  <sheetFormatPr defaultColWidth="9.140625" defaultRowHeight="12.75"/>
  <cols>
    <col min="1" max="1" width="9.140625" style="27" customWidth="1"/>
    <col min="2" max="2" width="11.140625" style="27" bestFit="1" customWidth="1"/>
    <col min="3" max="3" width="38.28125" style="27" bestFit="1" customWidth="1"/>
    <col min="4" max="4" width="30.421875" style="247" bestFit="1" customWidth="1"/>
    <col min="5" max="5" width="22.28125" style="27" bestFit="1" customWidth="1"/>
    <col min="6" max="16384" width="9.140625" style="27" customWidth="1"/>
  </cols>
  <sheetData>
    <row r="3" spans="1:5" ht="11.25">
      <c r="A3" s="41" t="s">
        <v>451</v>
      </c>
      <c r="B3" s="104" t="s">
        <v>848</v>
      </c>
      <c r="C3" s="201" t="s">
        <v>422</v>
      </c>
      <c r="D3" s="248"/>
      <c r="E3" s="104"/>
    </row>
    <row r="4" spans="1:5" ht="11.25">
      <c r="A4" s="40">
        <v>5</v>
      </c>
      <c r="B4" s="39" t="s">
        <v>830</v>
      </c>
      <c r="C4" s="39" t="s">
        <v>346</v>
      </c>
      <c r="D4" s="39"/>
      <c r="E4" s="39" t="s">
        <v>874</v>
      </c>
    </row>
    <row r="5" spans="1:5" ht="11.25">
      <c r="A5" s="40">
        <v>16</v>
      </c>
      <c r="B5" s="39" t="s">
        <v>832</v>
      </c>
      <c r="C5" s="39" t="s">
        <v>833</v>
      </c>
      <c r="D5" s="39"/>
      <c r="E5" s="39" t="s">
        <v>834</v>
      </c>
    </row>
    <row r="6" spans="1:5" ht="11.25">
      <c r="A6" s="40">
        <v>22</v>
      </c>
      <c r="B6" s="39" t="s">
        <v>835</v>
      </c>
      <c r="C6" s="39" t="s">
        <v>412</v>
      </c>
      <c r="D6" s="39"/>
      <c r="E6" s="39"/>
    </row>
    <row r="7" spans="1:5" ht="12.75">
      <c r="A7" s="40">
        <v>23</v>
      </c>
      <c r="B7" s="39" t="s">
        <v>556</v>
      </c>
      <c r="C7" s="39" t="s">
        <v>684</v>
      </c>
      <c r="D7" s="39" t="s">
        <v>827</v>
      </c>
      <c r="E7" s="316" t="s">
        <v>1135</v>
      </c>
    </row>
    <row r="8" spans="1:5" ht="11.25">
      <c r="A8" s="40">
        <v>25</v>
      </c>
      <c r="B8" s="39" t="s">
        <v>554</v>
      </c>
      <c r="C8" s="39" t="s">
        <v>357</v>
      </c>
      <c r="D8" s="39" t="s">
        <v>325</v>
      </c>
      <c r="E8" s="39"/>
    </row>
    <row r="9" spans="1:5" ht="11.25">
      <c r="A9" s="40">
        <v>26</v>
      </c>
      <c r="B9" s="39" t="s">
        <v>568</v>
      </c>
      <c r="C9" s="39" t="s">
        <v>779</v>
      </c>
      <c r="D9" s="39" t="s">
        <v>326</v>
      </c>
      <c r="E9" s="39" t="s">
        <v>828</v>
      </c>
    </row>
    <row r="10" spans="1:5" ht="11.25">
      <c r="A10" s="40">
        <v>38</v>
      </c>
      <c r="B10" s="39" t="s">
        <v>842</v>
      </c>
      <c r="C10" s="39" t="s">
        <v>782</v>
      </c>
      <c r="D10" s="39" t="s">
        <v>327</v>
      </c>
      <c r="E10" s="39"/>
    </row>
    <row r="11" spans="1:5" ht="11.25">
      <c r="A11" s="40">
        <v>41</v>
      </c>
      <c r="B11" s="39" t="s">
        <v>585</v>
      </c>
      <c r="C11" s="39" t="s">
        <v>417</v>
      </c>
      <c r="D11" s="39" t="s">
        <v>328</v>
      </c>
      <c r="E11" s="39"/>
    </row>
    <row r="12" spans="1:5" ht="11.25">
      <c r="A12" s="40">
        <v>49</v>
      </c>
      <c r="B12" s="39" t="s">
        <v>843</v>
      </c>
      <c r="C12" s="39" t="s">
        <v>526</v>
      </c>
      <c r="D12" s="39" t="s">
        <v>329</v>
      </c>
      <c r="E12" s="39"/>
    </row>
    <row r="13" spans="1:5" ht="11.25">
      <c r="A13" s="40">
        <v>54</v>
      </c>
      <c r="B13" s="39" t="s">
        <v>844</v>
      </c>
      <c r="C13" s="39" t="s">
        <v>414</v>
      </c>
      <c r="D13" s="39" t="s">
        <v>836</v>
      </c>
      <c r="E13" s="39"/>
    </row>
    <row r="14" spans="1:5" ht="11.25">
      <c r="A14" s="40">
        <v>57</v>
      </c>
      <c r="B14" s="39" t="s">
        <v>845</v>
      </c>
      <c r="C14" s="39" t="s">
        <v>518</v>
      </c>
      <c r="D14" s="39"/>
      <c r="E14" s="39"/>
    </row>
    <row r="15" spans="1:5" ht="11.25">
      <c r="A15" s="40">
        <v>70</v>
      </c>
      <c r="B15" s="39" t="s">
        <v>563</v>
      </c>
      <c r="C15" s="39" t="s">
        <v>837</v>
      </c>
      <c r="D15" s="39" t="s">
        <v>330</v>
      </c>
      <c r="E15" s="39"/>
    </row>
    <row r="16" spans="1:5" ht="11.25">
      <c r="A16" s="40">
        <v>83</v>
      </c>
      <c r="B16" s="39" t="s">
        <v>846</v>
      </c>
      <c r="C16" s="39" t="s">
        <v>519</v>
      </c>
      <c r="D16" s="39"/>
      <c r="E16" s="39"/>
    </row>
    <row r="17" spans="1:5" ht="11.25">
      <c r="A17" s="40">
        <v>87</v>
      </c>
      <c r="B17" s="39" t="s">
        <v>847</v>
      </c>
      <c r="C17" s="39" t="s">
        <v>520</v>
      </c>
      <c r="D17" s="39"/>
      <c r="E17" s="39"/>
    </row>
    <row r="18" spans="1:5" ht="11.25">
      <c r="A18" s="40">
        <v>106</v>
      </c>
      <c r="B18" s="39" t="s">
        <v>557</v>
      </c>
      <c r="C18" s="39" t="s">
        <v>849</v>
      </c>
      <c r="D18" s="39" t="s">
        <v>331</v>
      </c>
      <c r="E18" s="39" t="s">
        <v>838</v>
      </c>
    </row>
    <row r="19" spans="1:5" ht="11.25">
      <c r="A19" s="40">
        <v>117</v>
      </c>
      <c r="B19" s="39" t="s">
        <v>562</v>
      </c>
      <c r="C19" s="39" t="s">
        <v>781</v>
      </c>
      <c r="D19" s="39" t="s">
        <v>332</v>
      </c>
      <c r="E19" s="39" t="s">
        <v>347</v>
      </c>
    </row>
    <row r="20" spans="1:5" ht="11.25">
      <c r="A20" s="40">
        <v>142</v>
      </c>
      <c r="B20" s="39" t="s">
        <v>829</v>
      </c>
      <c r="C20" s="39" t="s">
        <v>839</v>
      </c>
      <c r="D20" s="39" t="s">
        <v>333</v>
      </c>
      <c r="E20" s="39"/>
    </row>
    <row r="21" spans="1:5" ht="11.25">
      <c r="A21" s="40">
        <v>176</v>
      </c>
      <c r="B21" s="39" t="s">
        <v>560</v>
      </c>
      <c r="C21" s="39" t="s">
        <v>406</v>
      </c>
      <c r="D21" s="39" t="s">
        <v>334</v>
      </c>
      <c r="E21" s="39"/>
    </row>
    <row r="22" spans="1:5" ht="11.25">
      <c r="A22" s="40">
        <v>182</v>
      </c>
      <c r="B22" s="39" t="s">
        <v>561</v>
      </c>
      <c r="C22" s="39" t="s">
        <v>359</v>
      </c>
      <c r="D22" s="39" t="s">
        <v>335</v>
      </c>
      <c r="E22" s="39"/>
    </row>
    <row r="23" spans="1:5" ht="11.25">
      <c r="A23" s="40">
        <v>183</v>
      </c>
      <c r="B23" s="39" t="s">
        <v>841</v>
      </c>
      <c r="C23" s="39" t="s">
        <v>840</v>
      </c>
      <c r="D23" s="39" t="s">
        <v>336</v>
      </c>
      <c r="E23" s="39" t="s">
        <v>348</v>
      </c>
    </row>
    <row r="24" spans="1:5" ht="11.25">
      <c r="A24" s="40">
        <v>197</v>
      </c>
      <c r="B24" s="39" t="s">
        <v>578</v>
      </c>
      <c r="C24" s="39" t="s">
        <v>411</v>
      </c>
      <c r="D24" s="39" t="s">
        <v>337</v>
      </c>
      <c r="E24" s="39"/>
    </row>
    <row r="25" spans="1:5" ht="11.25">
      <c r="A25" s="40">
        <v>221</v>
      </c>
      <c r="B25" s="39" t="s">
        <v>559</v>
      </c>
      <c r="C25" s="39" t="s">
        <v>407</v>
      </c>
      <c r="D25" s="39" t="s">
        <v>338</v>
      </c>
      <c r="E25" s="39"/>
    </row>
    <row r="26" spans="1:5" ht="11.25">
      <c r="A26" s="40">
        <v>231</v>
      </c>
      <c r="B26" s="39" t="s">
        <v>565</v>
      </c>
      <c r="C26" s="39" t="s">
        <v>419</v>
      </c>
      <c r="D26" s="39" t="s">
        <v>339</v>
      </c>
      <c r="E26" s="39"/>
    </row>
    <row r="27" spans="1:5" ht="11.25">
      <c r="A27" s="40">
        <v>239</v>
      </c>
      <c r="B27" s="39" t="s">
        <v>558</v>
      </c>
      <c r="C27" s="39" t="s">
        <v>661</v>
      </c>
      <c r="D27" s="39"/>
      <c r="E27" s="39"/>
    </row>
    <row r="28" spans="1:5" ht="11.25">
      <c r="A28" s="50">
        <v>246</v>
      </c>
      <c r="B28" s="60"/>
      <c r="C28" s="60" t="s">
        <v>358</v>
      </c>
      <c r="D28" s="60"/>
      <c r="E28" s="60"/>
    </row>
  </sheetData>
  <sheetProtection/>
  <hyperlinks>
    <hyperlink ref="E4" r:id="rId1" display="http://us.f535.mail.yahoo.com/ym/Compose?To=gstone@clovercap.com&amp;YY=25146&amp;order=down&amp;sort=date&amp;pos=0&amp;view=a&amp;head=b"/>
    <hyperlink ref="E5" r:id="rId2" display="http://us.f535.mail.yahoo.com/ym/Compose?To=eo@pallmallpartners.com&amp;YY=25146&amp;order=down&amp;sort=date&amp;pos=0&amp;view=a&amp;head=b"/>
    <hyperlink ref="E7" r:id="rId3" display="kurt_weisenfluh@ml.com"/>
    <hyperlink ref="D7" r:id="rId4" display="http://us.f535.mail.yahoo.com/ym/Compose?To=ccrocker@lehman.com&amp;YY=25146&amp;order=down&amp;sort=date&amp;pos=0&amp;view=a&amp;head=b"/>
    <hyperlink ref="E9" r:id="rId5" display="http://us.f535.mail.yahoo.com/ym/Compose?To=tbg@shipfinance.net&amp;YY=25146&amp;order=down&amp;sort=date&amp;pos=0&amp;view=a&amp;head=b"/>
    <hyperlink ref="D13" r:id="rId6" display="http://us.f535.mail.yahoo.com/ym/Compose?To=neil.meyer@lehman.com&amp;YY=25146&amp;order=down&amp;sort=date&amp;pos=0&amp;view=a&amp;head=b"/>
    <hyperlink ref="E18" r:id="rId7" display="http://us.f535.mail.yahoo.com/ym/Compose?To=john.mawe@lehman.com&amp;YY=25146&amp;order=down&amp;sort=date&amp;pos=0&amp;view=a&amp;head=b"/>
    <hyperlink ref="E19" r:id="rId8" display="http://us.f535.mail.yahoo.com/ym/Compose?To=wggollner1@optonline.net&amp;YY=25146&amp;order=down&amp;sort=date&amp;pos=0&amp;view=a&amp;head=b"/>
    <hyperlink ref="E23" r:id="rId9" display="http://us.f535.mail.yahoo.com/ym/Compose?To=pmassey@masseyknakal.com&amp;YY=25146&amp;order=down&amp;sort=date&amp;pos=0&amp;view=a&amp;head=b"/>
  </hyperlinks>
  <printOptions/>
  <pageMargins left="0.75" right="0.75" top="1" bottom="1" header="0.5" footer="0.5"/>
  <pageSetup horizontalDpi="600" verticalDpi="600" orientation="portrait" r:id="rId10"/>
</worksheet>
</file>

<file path=xl/worksheets/sheet6.xml><?xml version="1.0" encoding="utf-8"?>
<worksheet xmlns="http://schemas.openxmlformats.org/spreadsheetml/2006/main" xmlns:r="http://schemas.openxmlformats.org/officeDocument/2006/relationships">
  <sheetPr codeName="Sheet30">
    <pageSetUpPr fitToPage="1"/>
  </sheetPr>
  <dimension ref="A1:Z32"/>
  <sheetViews>
    <sheetView zoomScalePageLayoutView="0" workbookViewId="0" topLeftCell="A1">
      <selection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28125" style="26" customWidth="1"/>
    <col min="8" max="26" width="4.7109375" style="27" customWidth="1"/>
    <col min="27" max="16384" width="9.140625" style="27" customWidth="1"/>
  </cols>
  <sheetData>
    <row r="1" ht="11.25">
      <c r="A1" s="27" t="s">
        <v>191</v>
      </c>
    </row>
    <row r="2" ht="15.75">
      <c r="D2" s="71" t="s">
        <v>1155</v>
      </c>
    </row>
    <row r="3" ht="11.25">
      <c r="D3" s="27" t="s">
        <v>521</v>
      </c>
    </row>
    <row r="4" spans="8:26" ht="11.25">
      <c r="H4" s="366" t="s">
        <v>300</v>
      </c>
      <c r="I4" s="367"/>
      <c r="J4" s="367"/>
      <c r="K4" s="367"/>
      <c r="L4" s="49"/>
      <c r="M4" s="49"/>
      <c r="N4" s="49"/>
      <c r="O4" s="49"/>
      <c r="P4" s="49"/>
      <c r="Q4" s="49"/>
      <c r="R4" s="49"/>
      <c r="S4" s="49"/>
      <c r="T4" s="49"/>
      <c r="U4" s="49"/>
      <c r="V4" s="49"/>
      <c r="W4" s="49"/>
      <c r="X4" s="29"/>
      <c r="Y4" s="29"/>
      <c r="Z4" s="30"/>
    </row>
    <row r="5" spans="4:26" ht="11.25">
      <c r="D5" s="191"/>
      <c r="H5" s="375" t="s">
        <v>825</v>
      </c>
      <c r="I5" s="376"/>
      <c r="J5" s="376"/>
      <c r="K5" s="377"/>
      <c r="L5" s="375" t="s">
        <v>823</v>
      </c>
      <c r="M5" s="377"/>
      <c r="N5" s="375" t="s">
        <v>1130</v>
      </c>
      <c r="O5" s="377"/>
      <c r="P5" s="375" t="s">
        <v>312</v>
      </c>
      <c r="Q5" s="377"/>
      <c r="R5" s="375" t="s">
        <v>873</v>
      </c>
      <c r="S5" s="376"/>
      <c r="T5" s="376"/>
      <c r="U5" s="376"/>
      <c r="V5" s="376"/>
      <c r="W5" s="377"/>
      <c r="X5" s="376" t="s">
        <v>314</v>
      </c>
      <c r="Y5" s="376"/>
      <c r="Z5" s="377"/>
    </row>
    <row r="6" spans="3:26" ht="11.25">
      <c r="C6" s="37"/>
      <c r="D6" s="126"/>
      <c r="E6" s="105"/>
      <c r="F6" s="115"/>
      <c r="G6" s="310" t="s">
        <v>184</v>
      </c>
      <c r="H6" s="41" t="s">
        <v>295</v>
      </c>
      <c r="I6" s="62" t="s">
        <v>295</v>
      </c>
      <c r="J6" s="62" t="s">
        <v>295</v>
      </c>
      <c r="K6" s="62" t="s">
        <v>295</v>
      </c>
      <c r="L6" s="41" t="s">
        <v>295</v>
      </c>
      <c r="M6" s="41" t="s">
        <v>295</v>
      </c>
      <c r="N6" s="41" t="s">
        <v>295</v>
      </c>
      <c r="O6" s="53" t="s">
        <v>295</v>
      </c>
      <c r="P6" s="41"/>
      <c r="Q6" s="62"/>
      <c r="R6" s="41" t="s">
        <v>295</v>
      </c>
      <c r="S6" s="41" t="s">
        <v>295</v>
      </c>
      <c r="T6" s="41" t="s">
        <v>295</v>
      </c>
      <c r="U6" s="41" t="s">
        <v>430</v>
      </c>
      <c r="V6" s="41" t="s">
        <v>295</v>
      </c>
      <c r="W6" s="41" t="s">
        <v>515</v>
      </c>
      <c r="X6" s="41"/>
      <c r="Y6" s="41"/>
      <c r="Z6" s="41"/>
    </row>
    <row r="7" spans="3:26" ht="12.75" customHeight="1">
      <c r="C7" s="39"/>
      <c r="D7" s="63"/>
      <c r="E7" s="56"/>
      <c r="F7" s="369" t="s">
        <v>185</v>
      </c>
      <c r="G7" s="370"/>
      <c r="H7" s="42"/>
      <c r="I7" s="112"/>
      <c r="J7" s="112"/>
      <c r="K7" s="112"/>
      <c r="L7" s="41"/>
      <c r="M7" s="41"/>
      <c r="N7" s="41"/>
      <c r="O7" s="53"/>
      <c r="P7" s="41"/>
      <c r="Q7" s="62"/>
      <c r="R7" s="41">
        <v>330</v>
      </c>
      <c r="S7" s="41">
        <v>330</v>
      </c>
      <c r="T7" s="41">
        <v>330</v>
      </c>
      <c r="U7" s="41">
        <v>315</v>
      </c>
      <c r="V7" s="41">
        <v>210</v>
      </c>
      <c r="W7" s="41">
        <v>210</v>
      </c>
      <c r="X7" s="41"/>
      <c r="Y7" s="41"/>
      <c r="Z7" s="41"/>
    </row>
    <row r="8" spans="3:26" ht="12.75" customHeight="1">
      <c r="C8" s="39"/>
      <c r="D8" s="63"/>
      <c r="E8" s="56"/>
      <c r="F8" s="369" t="s">
        <v>186</v>
      </c>
      <c r="G8" s="370"/>
      <c r="H8" s="44"/>
      <c r="I8" s="44"/>
      <c r="J8" s="44"/>
      <c r="K8" s="44"/>
      <c r="L8" s="111"/>
      <c r="M8" s="111"/>
      <c r="N8" s="43"/>
      <c r="O8" s="305"/>
      <c r="P8" s="43"/>
      <c r="Q8" s="306"/>
      <c r="R8" s="111">
        <v>15</v>
      </c>
      <c r="S8" s="111">
        <v>15</v>
      </c>
      <c r="T8" s="111">
        <v>15</v>
      </c>
      <c r="U8" s="111">
        <v>15</v>
      </c>
      <c r="V8" s="111">
        <v>5</v>
      </c>
      <c r="W8" s="111">
        <v>3</v>
      </c>
      <c r="X8" s="43"/>
      <c r="Y8" s="43"/>
      <c r="Z8" s="43"/>
    </row>
    <row r="9" spans="3:26" ht="12.75" customHeight="1">
      <c r="C9" s="60"/>
      <c r="D9" s="127"/>
      <c r="E9" s="56">
        <f>COUNTIF($H9:Z9,"&gt;=0")</f>
        <v>19</v>
      </c>
      <c r="F9" s="371" t="s">
        <v>187</v>
      </c>
      <c r="G9" s="372"/>
      <c r="H9" s="41">
        <f>COUNTA(H11:H30)</f>
        <v>12</v>
      </c>
      <c r="I9" s="41">
        <f aca="true" t="shared" si="0" ref="I9:W9">COUNTA(I11:I30)</f>
        <v>10</v>
      </c>
      <c r="J9" s="41">
        <f t="shared" si="0"/>
        <v>8</v>
      </c>
      <c r="K9" s="41">
        <f t="shared" si="0"/>
        <v>7</v>
      </c>
      <c r="L9" s="41">
        <f t="shared" si="0"/>
        <v>12</v>
      </c>
      <c r="M9" s="41">
        <f t="shared" si="0"/>
        <v>11</v>
      </c>
      <c r="N9" s="41">
        <f t="shared" si="0"/>
        <v>13</v>
      </c>
      <c r="O9" s="41">
        <f t="shared" si="0"/>
        <v>9</v>
      </c>
      <c r="P9" s="41">
        <f t="shared" si="0"/>
        <v>12</v>
      </c>
      <c r="Q9" s="41">
        <f t="shared" si="0"/>
        <v>12</v>
      </c>
      <c r="R9" s="41">
        <f t="shared" si="0"/>
        <v>12</v>
      </c>
      <c r="S9" s="41">
        <f t="shared" si="0"/>
        <v>12</v>
      </c>
      <c r="T9" s="41">
        <f t="shared" si="0"/>
        <v>12</v>
      </c>
      <c r="U9" s="41">
        <f t="shared" si="0"/>
        <v>11</v>
      </c>
      <c r="V9" s="41">
        <f t="shared" si="0"/>
        <v>10</v>
      </c>
      <c r="W9" s="41">
        <f t="shared" si="0"/>
        <v>10</v>
      </c>
      <c r="X9" s="41">
        <v>8</v>
      </c>
      <c r="Y9" s="41">
        <v>7</v>
      </c>
      <c r="Z9" s="41">
        <v>7</v>
      </c>
    </row>
    <row r="10" spans="3:26" ht="37.5">
      <c r="C10" s="41" t="s">
        <v>451</v>
      </c>
      <c r="D10" s="201" t="s">
        <v>422</v>
      </c>
      <c r="E10" s="36" t="s">
        <v>188</v>
      </c>
      <c r="F10" s="36" t="s">
        <v>189</v>
      </c>
      <c r="G10" s="151" t="s">
        <v>190</v>
      </c>
      <c r="H10" s="36">
        <v>39228</v>
      </c>
      <c r="I10" s="36">
        <v>39228</v>
      </c>
      <c r="J10" s="36">
        <v>39229</v>
      </c>
      <c r="K10" s="36">
        <v>39229</v>
      </c>
      <c r="L10" s="36">
        <v>39235</v>
      </c>
      <c r="M10" s="36">
        <v>39235</v>
      </c>
      <c r="N10" s="36">
        <v>39242</v>
      </c>
      <c r="O10" s="36">
        <v>39242</v>
      </c>
      <c r="P10" s="36">
        <v>39249</v>
      </c>
      <c r="Q10" s="36">
        <v>39249</v>
      </c>
      <c r="R10" s="36">
        <v>38161</v>
      </c>
      <c r="S10" s="36">
        <v>38161</v>
      </c>
      <c r="T10" s="36">
        <v>38161</v>
      </c>
      <c r="U10" s="36">
        <v>38161</v>
      </c>
      <c r="V10" s="36">
        <v>39257</v>
      </c>
      <c r="W10" s="36">
        <v>39257</v>
      </c>
      <c r="X10" s="36">
        <v>39263</v>
      </c>
      <c r="Y10" s="36">
        <v>39264</v>
      </c>
      <c r="Z10" s="36">
        <v>39264</v>
      </c>
    </row>
    <row r="11" spans="2:26" ht="11.25">
      <c r="B11" s="27">
        <v>1</v>
      </c>
      <c r="C11" s="38">
        <v>23</v>
      </c>
      <c r="D11" s="37" t="s">
        <v>684</v>
      </c>
      <c r="E11" s="48">
        <f aca="true" t="shared" si="1" ref="E11:E30">COUNTA(H11:Z11)</f>
        <v>16</v>
      </c>
      <c r="F11" s="48">
        <f aca="true" t="shared" si="2" ref="F11:F30">MIN(INT(E11/10),3)</f>
        <v>1</v>
      </c>
      <c r="G11" s="61">
        <f>C_S_G($H11:Z11,$H$9:Z$9,csg_table,E$9,F11)</f>
        <v>0.9129734085414988</v>
      </c>
      <c r="H11" s="48">
        <v>1</v>
      </c>
      <c r="I11" s="48">
        <v>3</v>
      </c>
      <c r="J11" s="48">
        <v>1</v>
      </c>
      <c r="K11" s="48">
        <v>2</v>
      </c>
      <c r="L11" s="48">
        <v>3</v>
      </c>
      <c r="M11" s="48">
        <v>4</v>
      </c>
      <c r="N11" s="48">
        <v>1</v>
      </c>
      <c r="O11" s="48">
        <v>1</v>
      </c>
      <c r="P11" s="48">
        <v>3</v>
      </c>
      <c r="Q11" s="48">
        <v>3</v>
      </c>
      <c r="R11" s="48">
        <v>2</v>
      </c>
      <c r="S11" s="48">
        <v>1</v>
      </c>
      <c r="T11" s="48">
        <v>6</v>
      </c>
      <c r="U11" s="48">
        <v>3</v>
      </c>
      <c r="V11" s="48">
        <v>6</v>
      </c>
      <c r="W11" s="48">
        <v>4</v>
      </c>
      <c r="X11" s="48"/>
      <c r="Y11" s="264"/>
      <c r="Z11" s="48"/>
    </row>
    <row r="12" spans="2:26" ht="11.25">
      <c r="B12" s="27">
        <v>2</v>
      </c>
      <c r="C12" s="40">
        <v>26</v>
      </c>
      <c r="D12" s="39" t="s">
        <v>779</v>
      </c>
      <c r="E12" s="32">
        <f t="shared" si="1"/>
        <v>15</v>
      </c>
      <c r="F12" s="32">
        <f t="shared" si="2"/>
        <v>1</v>
      </c>
      <c r="G12" s="33">
        <f>C_S_G($H12:Z12,$H$9:Z$9,csg_table,E$9,F12)</f>
        <v>0.8972602739726028</v>
      </c>
      <c r="H12" s="32">
        <v>3</v>
      </c>
      <c r="I12" s="32">
        <v>2</v>
      </c>
      <c r="J12" s="32"/>
      <c r="K12" s="32"/>
      <c r="L12" s="32">
        <v>1</v>
      </c>
      <c r="M12" s="32">
        <v>2</v>
      </c>
      <c r="N12" s="32">
        <v>2</v>
      </c>
      <c r="O12" s="32">
        <v>3</v>
      </c>
      <c r="P12" s="32">
        <v>1</v>
      </c>
      <c r="Q12" s="32" t="s">
        <v>299</v>
      </c>
      <c r="R12" s="32">
        <v>6</v>
      </c>
      <c r="S12" s="32">
        <v>2</v>
      </c>
      <c r="T12" s="32">
        <v>4</v>
      </c>
      <c r="U12" s="32">
        <v>6</v>
      </c>
      <c r="V12" s="32">
        <v>7</v>
      </c>
      <c r="W12" s="32">
        <v>1</v>
      </c>
      <c r="X12" s="32">
        <v>1</v>
      </c>
      <c r="Y12" s="32"/>
      <c r="Z12" s="32"/>
    </row>
    <row r="13" spans="2:26" ht="11.25">
      <c r="B13" s="27">
        <v>3</v>
      </c>
      <c r="C13" s="40">
        <v>221</v>
      </c>
      <c r="D13" s="39" t="s">
        <v>407</v>
      </c>
      <c r="E13" s="32">
        <f t="shared" si="1"/>
        <v>19</v>
      </c>
      <c r="F13" s="32">
        <f t="shared" si="2"/>
        <v>1</v>
      </c>
      <c r="G13" s="33">
        <f>C_S_G($H13:Z13,$H$9:Z$9,csg_table,E$9,F13)</f>
        <v>0.8540095956134338</v>
      </c>
      <c r="H13" s="32">
        <v>2</v>
      </c>
      <c r="I13" s="32">
        <v>1</v>
      </c>
      <c r="J13" s="32">
        <v>5</v>
      </c>
      <c r="K13" s="32">
        <v>3</v>
      </c>
      <c r="L13" s="32">
        <v>7</v>
      </c>
      <c r="M13" s="32">
        <v>3</v>
      </c>
      <c r="N13" s="32">
        <v>4</v>
      </c>
      <c r="O13" s="32">
        <v>6</v>
      </c>
      <c r="P13" s="32">
        <v>2</v>
      </c>
      <c r="Q13" s="32">
        <v>8</v>
      </c>
      <c r="R13" s="32">
        <v>4</v>
      </c>
      <c r="S13" s="32">
        <v>3</v>
      </c>
      <c r="T13" s="32">
        <v>2</v>
      </c>
      <c r="U13" s="32">
        <v>5</v>
      </c>
      <c r="V13" s="32">
        <v>2</v>
      </c>
      <c r="W13" s="32">
        <v>5</v>
      </c>
      <c r="X13" s="32">
        <v>4</v>
      </c>
      <c r="Y13" s="32">
        <v>7</v>
      </c>
      <c r="Z13" s="32">
        <v>1</v>
      </c>
    </row>
    <row r="14" spans="2:26" ht="11.25">
      <c r="B14" s="27">
        <v>4</v>
      </c>
      <c r="C14" s="40">
        <v>25</v>
      </c>
      <c r="D14" s="39" t="s">
        <v>357</v>
      </c>
      <c r="E14" s="32">
        <f t="shared" si="1"/>
        <v>19</v>
      </c>
      <c r="F14" s="32">
        <f t="shared" si="2"/>
        <v>1</v>
      </c>
      <c r="G14" s="33">
        <f>C_S_G($H14:Z14,$H$9:Z$9,csg_table,E$9,F14)</f>
        <v>0.840418118466899</v>
      </c>
      <c r="H14" s="32">
        <v>6</v>
      </c>
      <c r="I14" s="32">
        <v>7</v>
      </c>
      <c r="J14" s="32">
        <v>2</v>
      </c>
      <c r="K14" s="32">
        <v>6</v>
      </c>
      <c r="L14" s="32">
        <v>2</v>
      </c>
      <c r="M14" s="32">
        <v>7</v>
      </c>
      <c r="N14" s="32">
        <v>10</v>
      </c>
      <c r="O14" s="32">
        <v>5</v>
      </c>
      <c r="P14" s="32">
        <v>6</v>
      </c>
      <c r="Q14" s="32">
        <v>2</v>
      </c>
      <c r="R14" s="32">
        <v>3</v>
      </c>
      <c r="S14" s="32">
        <v>6</v>
      </c>
      <c r="T14" s="32">
        <v>1</v>
      </c>
      <c r="U14" s="32">
        <v>1</v>
      </c>
      <c r="V14" s="32">
        <v>3</v>
      </c>
      <c r="W14" s="32">
        <v>2</v>
      </c>
      <c r="X14" s="32">
        <v>5</v>
      </c>
      <c r="Y14" s="32">
        <v>5</v>
      </c>
      <c r="Z14" s="32">
        <v>3</v>
      </c>
    </row>
    <row r="15" spans="2:26" ht="11.25">
      <c r="B15" s="27">
        <v>5</v>
      </c>
      <c r="C15" s="40">
        <v>182</v>
      </c>
      <c r="D15" s="39" t="s">
        <v>359</v>
      </c>
      <c r="E15" s="32">
        <f t="shared" si="1"/>
        <v>13</v>
      </c>
      <c r="F15" s="32">
        <f t="shared" si="2"/>
        <v>1</v>
      </c>
      <c r="G15" s="33">
        <f>C_S_G($H15:Z15,$H$9:Z$9,csg_table,E$9,F15)</f>
        <v>0.8347193347193347</v>
      </c>
      <c r="H15" s="32"/>
      <c r="I15" s="32"/>
      <c r="J15" s="32"/>
      <c r="K15" s="32"/>
      <c r="L15" s="32"/>
      <c r="M15" s="32"/>
      <c r="N15" s="32">
        <v>7</v>
      </c>
      <c r="O15" s="32">
        <v>4</v>
      </c>
      <c r="P15" s="32">
        <v>5</v>
      </c>
      <c r="Q15" s="32">
        <v>9</v>
      </c>
      <c r="R15" s="32">
        <v>7</v>
      </c>
      <c r="S15" s="32">
        <v>4</v>
      </c>
      <c r="T15" s="32">
        <v>7</v>
      </c>
      <c r="U15" s="32">
        <v>2</v>
      </c>
      <c r="V15" s="32">
        <v>1</v>
      </c>
      <c r="W15" s="32">
        <v>3</v>
      </c>
      <c r="X15" s="32">
        <v>3</v>
      </c>
      <c r="Y15" s="32">
        <v>1</v>
      </c>
      <c r="Z15" s="32">
        <v>7</v>
      </c>
    </row>
    <row r="16" spans="2:26" ht="11.25">
      <c r="B16" s="27">
        <v>6</v>
      </c>
      <c r="C16" s="40">
        <v>231</v>
      </c>
      <c r="D16" s="39" t="s">
        <v>419</v>
      </c>
      <c r="E16" s="32">
        <f t="shared" si="1"/>
        <v>14</v>
      </c>
      <c r="F16" s="32">
        <f t="shared" si="2"/>
        <v>1</v>
      </c>
      <c r="G16" s="33">
        <f>C_S_G($H16:Z16,$H$9:Z$9,csg_table,E$9,F16)</f>
        <v>0.8186046511627907</v>
      </c>
      <c r="H16" s="32">
        <v>4</v>
      </c>
      <c r="I16" s="32">
        <v>4</v>
      </c>
      <c r="J16" s="32">
        <v>6</v>
      </c>
      <c r="K16" s="32">
        <v>1</v>
      </c>
      <c r="L16" s="32">
        <v>4</v>
      </c>
      <c r="M16" s="32">
        <v>1</v>
      </c>
      <c r="N16" s="32"/>
      <c r="O16" s="32"/>
      <c r="P16" s="32">
        <v>4</v>
      </c>
      <c r="Q16" s="32">
        <v>6</v>
      </c>
      <c r="R16" s="32">
        <v>5</v>
      </c>
      <c r="S16" s="32">
        <v>7</v>
      </c>
      <c r="T16" s="32">
        <v>8</v>
      </c>
      <c r="U16" s="32">
        <v>4</v>
      </c>
      <c r="V16" s="32">
        <v>8</v>
      </c>
      <c r="W16" s="32">
        <v>9</v>
      </c>
      <c r="X16" s="32"/>
      <c r="Y16" s="32"/>
      <c r="Z16" s="32"/>
    </row>
    <row r="17" spans="2:26" ht="11.25">
      <c r="B17" s="27">
        <v>7</v>
      </c>
      <c r="C17" s="40">
        <v>176</v>
      </c>
      <c r="D17" s="39" t="s">
        <v>406</v>
      </c>
      <c r="E17" s="32">
        <f t="shared" si="1"/>
        <v>11</v>
      </c>
      <c r="F17" s="32">
        <f t="shared" si="2"/>
        <v>1</v>
      </c>
      <c r="G17" s="33">
        <f>C_S_G($H17:Z17,$H$9:Z$9,csg_table,E$9,F17)</f>
        <v>0.7941550190597204</v>
      </c>
      <c r="H17" s="32"/>
      <c r="I17" s="32"/>
      <c r="J17" s="32">
        <v>4</v>
      </c>
      <c r="K17" s="32">
        <v>4</v>
      </c>
      <c r="L17" s="32">
        <v>6</v>
      </c>
      <c r="M17" s="32">
        <v>6</v>
      </c>
      <c r="N17" s="32">
        <v>6</v>
      </c>
      <c r="O17" s="32">
        <v>2</v>
      </c>
      <c r="P17" s="32">
        <v>8</v>
      </c>
      <c r="Q17" s="32">
        <v>5</v>
      </c>
      <c r="R17" s="32"/>
      <c r="S17" s="32"/>
      <c r="T17" s="32"/>
      <c r="U17" s="32"/>
      <c r="V17" s="32"/>
      <c r="W17" s="32"/>
      <c r="X17" s="32">
        <v>5</v>
      </c>
      <c r="Y17" s="32">
        <v>3</v>
      </c>
      <c r="Z17" s="32">
        <v>6</v>
      </c>
    </row>
    <row r="18" spans="2:26" ht="11.25">
      <c r="B18" s="27">
        <v>8</v>
      </c>
      <c r="C18" s="40">
        <v>197</v>
      </c>
      <c r="D18" s="39" t="s">
        <v>411</v>
      </c>
      <c r="E18" s="32">
        <f t="shared" si="1"/>
        <v>13</v>
      </c>
      <c r="F18" s="32">
        <f t="shared" si="2"/>
        <v>1</v>
      </c>
      <c r="G18" s="33">
        <f>C_S_G($H18:Z18,$H$9:Z$9,csg_table,E$9,F18)</f>
        <v>0.7687747035573123</v>
      </c>
      <c r="H18" s="32">
        <v>7</v>
      </c>
      <c r="I18" s="32">
        <v>9</v>
      </c>
      <c r="J18" s="32"/>
      <c r="K18" s="32"/>
      <c r="L18" s="32">
        <v>10</v>
      </c>
      <c r="M18" s="32">
        <v>8</v>
      </c>
      <c r="N18" s="32">
        <v>3</v>
      </c>
      <c r="O18" s="32">
        <v>8</v>
      </c>
      <c r="P18" s="32">
        <v>7</v>
      </c>
      <c r="Q18" s="32">
        <v>1</v>
      </c>
      <c r="R18" s="32">
        <v>1</v>
      </c>
      <c r="S18" s="32">
        <v>10</v>
      </c>
      <c r="T18" s="32">
        <v>11</v>
      </c>
      <c r="U18" s="32"/>
      <c r="V18" s="32">
        <v>10</v>
      </c>
      <c r="W18" s="32">
        <v>7</v>
      </c>
      <c r="X18" s="32"/>
      <c r="Y18" s="32"/>
      <c r="Z18" s="32"/>
    </row>
    <row r="19" spans="2:26" ht="11.25">
      <c r="B19" s="27">
        <v>9</v>
      </c>
      <c r="C19" s="40">
        <v>142</v>
      </c>
      <c r="D19" s="39" t="s">
        <v>839</v>
      </c>
      <c r="E19" s="32">
        <f t="shared" si="1"/>
        <v>15</v>
      </c>
      <c r="F19" s="32">
        <f t="shared" si="2"/>
        <v>1</v>
      </c>
      <c r="G19" s="33">
        <f>C_S_G($H19:Z19,$H$9:Z$9,csg_table,E$9,F19)</f>
        <v>0.7596830985915493</v>
      </c>
      <c r="H19" s="32"/>
      <c r="I19" s="32"/>
      <c r="J19" s="32"/>
      <c r="K19" s="32"/>
      <c r="L19" s="32">
        <v>8</v>
      </c>
      <c r="M19" s="32">
        <v>10</v>
      </c>
      <c r="N19" s="32">
        <v>8</v>
      </c>
      <c r="O19" s="32">
        <v>7</v>
      </c>
      <c r="P19" s="32">
        <v>11</v>
      </c>
      <c r="Q19" s="32">
        <v>4</v>
      </c>
      <c r="R19" s="32">
        <v>8</v>
      </c>
      <c r="S19" s="32">
        <v>8</v>
      </c>
      <c r="T19" s="32">
        <v>10</v>
      </c>
      <c r="U19" s="32">
        <v>11</v>
      </c>
      <c r="V19" s="32">
        <v>5</v>
      </c>
      <c r="W19" s="32">
        <v>6</v>
      </c>
      <c r="X19" s="32">
        <v>2</v>
      </c>
      <c r="Y19" s="32">
        <v>2</v>
      </c>
      <c r="Z19" s="32">
        <v>2</v>
      </c>
    </row>
    <row r="20" spans="2:26" ht="11.25">
      <c r="B20" s="27">
        <v>10</v>
      </c>
      <c r="C20" s="50">
        <v>117</v>
      </c>
      <c r="D20" s="60" t="s">
        <v>781</v>
      </c>
      <c r="E20" s="34">
        <f t="shared" si="1"/>
        <v>17</v>
      </c>
      <c r="F20" s="34">
        <f t="shared" si="2"/>
        <v>1</v>
      </c>
      <c r="G20" s="35">
        <f>C_S_G($H20:Z20,$H$9:Z$9,csg_table,E$9,F20)</f>
        <v>0.71847739888977</v>
      </c>
      <c r="H20" s="34">
        <v>10</v>
      </c>
      <c r="I20" s="34">
        <v>5</v>
      </c>
      <c r="J20" s="34">
        <v>7</v>
      </c>
      <c r="K20" s="34">
        <v>7</v>
      </c>
      <c r="L20" s="34">
        <v>9</v>
      </c>
      <c r="M20" s="34">
        <v>9</v>
      </c>
      <c r="N20" s="34">
        <v>11</v>
      </c>
      <c r="O20" s="34">
        <v>9</v>
      </c>
      <c r="P20" s="34"/>
      <c r="Q20" s="34"/>
      <c r="R20" s="34">
        <v>9</v>
      </c>
      <c r="S20" s="34">
        <v>9</v>
      </c>
      <c r="T20" s="34">
        <v>5</v>
      </c>
      <c r="U20" s="34">
        <v>8</v>
      </c>
      <c r="V20" s="34">
        <v>4</v>
      </c>
      <c r="W20" s="34">
        <v>8</v>
      </c>
      <c r="X20" s="34">
        <v>7</v>
      </c>
      <c r="Y20" s="34">
        <v>6</v>
      </c>
      <c r="Z20" s="34">
        <v>5</v>
      </c>
    </row>
    <row r="21" spans="2:26" ht="11.25">
      <c r="B21" s="27" t="s">
        <v>215</v>
      </c>
      <c r="C21" s="40">
        <v>41</v>
      </c>
      <c r="D21" s="39" t="s">
        <v>1131</v>
      </c>
      <c r="E21" s="32">
        <f t="shared" si="1"/>
        <v>9</v>
      </c>
      <c r="F21" s="32">
        <f t="shared" si="2"/>
        <v>0</v>
      </c>
      <c r="G21" s="33">
        <f>C_S_G($H21:Z21,$H$9:Z$9,csg_table,E$9,F21)</f>
        <v>0.7617079889807162</v>
      </c>
      <c r="H21" s="32">
        <v>5</v>
      </c>
      <c r="I21" s="32"/>
      <c r="J21" s="32"/>
      <c r="K21" s="32"/>
      <c r="L21" s="32">
        <v>5</v>
      </c>
      <c r="M21" s="32">
        <v>5</v>
      </c>
      <c r="N21" s="32">
        <v>9</v>
      </c>
      <c r="O21" s="32"/>
      <c r="P21" s="32">
        <v>9</v>
      </c>
      <c r="Q21" s="32">
        <v>7</v>
      </c>
      <c r="R21" s="32"/>
      <c r="S21" s="32"/>
      <c r="T21" s="32"/>
      <c r="U21" s="32"/>
      <c r="V21" s="32"/>
      <c r="W21" s="32"/>
      <c r="X21" s="32">
        <v>6</v>
      </c>
      <c r="Y21" s="32">
        <v>4</v>
      </c>
      <c r="Z21" s="32">
        <v>4</v>
      </c>
    </row>
    <row r="22" spans="2:26" ht="11.25">
      <c r="B22" s="27" t="s">
        <v>215</v>
      </c>
      <c r="C22" s="40">
        <v>49</v>
      </c>
      <c r="D22" s="39" t="s">
        <v>526</v>
      </c>
      <c r="E22" s="32">
        <f t="shared" si="1"/>
        <v>8</v>
      </c>
      <c r="F22" s="32">
        <f t="shared" si="2"/>
        <v>0</v>
      </c>
      <c r="G22" s="33">
        <f>C_S_G($H22:Z22,$H$9:Z$9,csg_table,E$9,F22)</f>
        <v>0.7630769230769231</v>
      </c>
      <c r="H22" s="32">
        <v>8</v>
      </c>
      <c r="I22" s="32">
        <v>6</v>
      </c>
      <c r="J22" s="32">
        <v>3</v>
      </c>
      <c r="K22" s="32">
        <v>5</v>
      </c>
      <c r="L22" s="32"/>
      <c r="M22" s="32"/>
      <c r="N22" s="32"/>
      <c r="O22" s="32"/>
      <c r="P22" s="32"/>
      <c r="Q22" s="32"/>
      <c r="R22" s="32">
        <v>11</v>
      </c>
      <c r="S22" s="32">
        <v>5</v>
      </c>
      <c r="T22" s="32">
        <v>3</v>
      </c>
      <c r="U22" s="32">
        <v>9</v>
      </c>
      <c r="V22" s="32"/>
      <c r="W22" s="32"/>
      <c r="X22" s="32"/>
      <c r="Y22" s="32"/>
      <c r="Z22" s="32"/>
    </row>
    <row r="23" spans="2:26" ht="11.25">
      <c r="B23" s="27" t="s">
        <v>215</v>
      </c>
      <c r="C23" s="40">
        <v>106</v>
      </c>
      <c r="D23" s="39" t="s">
        <v>849</v>
      </c>
      <c r="E23" s="32">
        <f t="shared" si="1"/>
        <v>8</v>
      </c>
      <c r="F23" s="32">
        <f t="shared" si="2"/>
        <v>0</v>
      </c>
      <c r="G23" s="33">
        <f>C_S_G($H23:Z23,$H$9:Z$9,csg_table,E$9,F23)</f>
        <v>0.6553755522827688</v>
      </c>
      <c r="H23" s="32">
        <v>11</v>
      </c>
      <c r="I23" s="32"/>
      <c r="J23" s="32"/>
      <c r="K23" s="32"/>
      <c r="L23" s="32">
        <v>12</v>
      </c>
      <c r="M23" s="32"/>
      <c r="N23" s="32"/>
      <c r="O23" s="32"/>
      <c r="P23" s="32"/>
      <c r="Q23" s="32"/>
      <c r="R23" s="32">
        <v>12</v>
      </c>
      <c r="S23" s="32">
        <v>12</v>
      </c>
      <c r="T23" s="32">
        <v>12</v>
      </c>
      <c r="U23" s="32">
        <v>7</v>
      </c>
      <c r="V23" s="32">
        <v>9</v>
      </c>
      <c r="W23" s="32">
        <v>10</v>
      </c>
      <c r="X23" s="32"/>
      <c r="Y23" s="32"/>
      <c r="Z23" s="32"/>
    </row>
    <row r="24" spans="2:26" ht="11.25">
      <c r="B24" s="27" t="s">
        <v>215</v>
      </c>
      <c r="C24" s="40">
        <v>183</v>
      </c>
      <c r="D24" s="39" t="s">
        <v>840</v>
      </c>
      <c r="E24" s="32">
        <f t="shared" si="1"/>
        <v>6</v>
      </c>
      <c r="F24" s="32">
        <f t="shared" si="2"/>
        <v>0</v>
      </c>
      <c r="G24" s="33">
        <f>C_S_G($H24:Z24,$H$9:Z$9,csg_table,E$9,F24)</f>
        <v>0.6666666666666666</v>
      </c>
      <c r="H24" s="32"/>
      <c r="I24" s="32"/>
      <c r="J24" s="32"/>
      <c r="K24" s="32"/>
      <c r="L24" s="32"/>
      <c r="M24" s="32"/>
      <c r="N24" s="32"/>
      <c r="O24" s="32"/>
      <c r="P24" s="32">
        <v>10</v>
      </c>
      <c r="Q24" s="32" t="s">
        <v>299</v>
      </c>
      <c r="R24" s="32">
        <v>10</v>
      </c>
      <c r="S24" s="32">
        <v>11</v>
      </c>
      <c r="T24" s="32">
        <v>9</v>
      </c>
      <c r="U24" s="32">
        <v>10</v>
      </c>
      <c r="V24" s="32"/>
      <c r="W24" s="32"/>
      <c r="X24" s="32"/>
      <c r="Y24" s="32"/>
      <c r="Z24" s="32"/>
    </row>
    <row r="25" spans="2:26" ht="11.25">
      <c r="B25" s="27" t="s">
        <v>215</v>
      </c>
      <c r="C25" s="40">
        <v>5</v>
      </c>
      <c r="D25" s="39" t="s">
        <v>831</v>
      </c>
      <c r="E25" s="32">
        <f t="shared" si="1"/>
        <v>4</v>
      </c>
      <c r="F25" s="32">
        <f t="shared" si="2"/>
        <v>0</v>
      </c>
      <c r="G25" s="33">
        <f>C_S_G($H25:Z25,$H$9:Z$9,csg_table,E$9,F25)</f>
        <v>0.6516516516516516</v>
      </c>
      <c r="H25" s="32">
        <v>12</v>
      </c>
      <c r="I25" s="32"/>
      <c r="J25" s="32">
        <v>8</v>
      </c>
      <c r="K25" s="32"/>
      <c r="L25" s="32"/>
      <c r="M25" s="32"/>
      <c r="N25" s="32"/>
      <c r="O25" s="32"/>
      <c r="P25" s="32">
        <v>12</v>
      </c>
      <c r="Q25" s="32">
        <v>10</v>
      </c>
      <c r="R25" s="32"/>
      <c r="S25" s="32"/>
      <c r="T25" s="32"/>
      <c r="U25" s="32"/>
      <c r="V25" s="32"/>
      <c r="W25" s="32"/>
      <c r="X25" s="32"/>
      <c r="Y25" s="32"/>
      <c r="Z25" s="32"/>
    </row>
    <row r="26" spans="2:26" ht="11.25">
      <c r="B26" s="27" t="s">
        <v>215</v>
      </c>
      <c r="C26" s="40">
        <v>70</v>
      </c>
      <c r="D26" s="39" t="s">
        <v>837</v>
      </c>
      <c r="E26" s="32">
        <f t="shared" si="1"/>
        <v>3</v>
      </c>
      <c r="F26" s="32">
        <f t="shared" si="2"/>
        <v>0</v>
      </c>
      <c r="G26" s="33">
        <f>C_S_G($H26:Z26,$H$9:Z$9,csg_table,E$9,F26)</f>
        <v>0.7049808429118773</v>
      </c>
      <c r="H26" s="32"/>
      <c r="I26" s="32"/>
      <c r="J26" s="32"/>
      <c r="K26" s="32"/>
      <c r="L26" s="32">
        <v>11</v>
      </c>
      <c r="M26" s="32">
        <v>11</v>
      </c>
      <c r="N26" s="32">
        <v>5</v>
      </c>
      <c r="O26" s="32"/>
      <c r="P26" s="32"/>
      <c r="Q26" s="32"/>
      <c r="R26" s="32"/>
      <c r="S26" s="32"/>
      <c r="T26" s="32"/>
      <c r="U26" s="32"/>
      <c r="V26" s="32"/>
      <c r="W26" s="32"/>
      <c r="X26" s="32"/>
      <c r="Y26" s="32"/>
      <c r="Z26" s="32"/>
    </row>
    <row r="27" spans="2:26" ht="11.25">
      <c r="B27" s="27" t="s">
        <v>215</v>
      </c>
      <c r="C27" s="40">
        <v>16</v>
      </c>
      <c r="D27" s="39" t="s">
        <v>833</v>
      </c>
      <c r="E27" s="32">
        <f t="shared" si="1"/>
        <v>3</v>
      </c>
      <c r="F27" s="32">
        <f t="shared" si="2"/>
        <v>0</v>
      </c>
      <c r="G27" s="33">
        <f>C_S_G($H27:Z27,$H$9:Z$9,csg_table,E$9,F27)</f>
        <v>0.6809338521400778</v>
      </c>
      <c r="H27" s="32">
        <v>9</v>
      </c>
      <c r="I27" s="32">
        <v>8</v>
      </c>
      <c r="J27" s="32"/>
      <c r="K27" s="32"/>
      <c r="L27" s="32"/>
      <c r="M27" s="32"/>
      <c r="N27" s="32">
        <v>12</v>
      </c>
      <c r="O27" s="32"/>
      <c r="P27" s="32"/>
      <c r="Q27" s="32"/>
      <c r="R27" s="32"/>
      <c r="S27" s="32"/>
      <c r="T27" s="32"/>
      <c r="U27" s="32"/>
      <c r="V27" s="32"/>
      <c r="W27" s="32"/>
      <c r="X27" s="32"/>
      <c r="Y27" s="32"/>
      <c r="Z27" s="32"/>
    </row>
    <row r="28" spans="2:26" ht="11.25">
      <c r="B28" s="27" t="s">
        <v>215</v>
      </c>
      <c r="C28" s="40">
        <v>54</v>
      </c>
      <c r="D28" s="39" t="s">
        <v>414</v>
      </c>
      <c r="E28" s="32">
        <f t="shared" si="1"/>
        <v>1</v>
      </c>
      <c r="F28" s="32">
        <f t="shared" si="2"/>
        <v>0</v>
      </c>
      <c r="G28" s="33">
        <f>C_S_G($H28:Z28,$H$9:Z$9,csg_table,E$9,F28)</f>
        <v>0.65</v>
      </c>
      <c r="H28" s="32"/>
      <c r="I28" s="32">
        <v>10</v>
      </c>
      <c r="J28" s="32"/>
      <c r="K28" s="32"/>
      <c r="L28" s="32"/>
      <c r="M28" s="32"/>
      <c r="N28" s="32"/>
      <c r="O28" s="32"/>
      <c r="P28" s="32"/>
      <c r="Q28" s="32"/>
      <c r="R28" s="32"/>
      <c r="S28" s="32"/>
      <c r="T28" s="32"/>
      <c r="U28" s="32"/>
      <c r="V28" s="32"/>
      <c r="W28" s="32"/>
      <c r="X28" s="32"/>
      <c r="Y28" s="32"/>
      <c r="Z28" s="32"/>
    </row>
    <row r="29" spans="2:26" ht="11.25">
      <c r="B29" s="54" t="s">
        <v>215</v>
      </c>
      <c r="C29" s="40">
        <v>38</v>
      </c>
      <c r="D29" s="39" t="s">
        <v>782</v>
      </c>
      <c r="E29" s="32">
        <f t="shared" si="1"/>
        <v>1</v>
      </c>
      <c r="F29" s="32">
        <f t="shared" si="2"/>
        <v>0</v>
      </c>
      <c r="G29" s="33">
        <f>C_S_G($H29:Z29,$H$9:Z$9,csg_table,E$9,F29)</f>
        <v>0.6195652173913043</v>
      </c>
      <c r="H29" s="32"/>
      <c r="I29" s="32"/>
      <c r="J29" s="32"/>
      <c r="K29" s="32"/>
      <c r="L29" s="32"/>
      <c r="M29" s="32"/>
      <c r="N29" s="32" t="s">
        <v>299</v>
      </c>
      <c r="O29" s="32"/>
      <c r="P29" s="32"/>
      <c r="Q29" s="32"/>
      <c r="R29" s="32"/>
      <c r="S29" s="32"/>
      <c r="T29" s="32"/>
      <c r="U29" s="32"/>
      <c r="V29" s="32"/>
      <c r="W29" s="32"/>
      <c r="X29" s="32"/>
      <c r="Y29" s="32"/>
      <c r="Z29" s="32"/>
    </row>
    <row r="30" spans="2:26" ht="11.25">
      <c r="B30" s="54" t="s">
        <v>215</v>
      </c>
      <c r="C30" s="50">
        <v>22</v>
      </c>
      <c r="D30" s="60" t="s">
        <v>412</v>
      </c>
      <c r="E30" s="34">
        <f t="shared" si="1"/>
        <v>0</v>
      </c>
      <c r="F30" s="34">
        <f t="shared" si="2"/>
        <v>0</v>
      </c>
      <c r="G30" s="35">
        <f>C_S_G($H30:Z30,$H$9:Z$9,csg_table,E$9,F30)</f>
        <v>0</v>
      </c>
      <c r="H30" s="34"/>
      <c r="I30" s="34"/>
      <c r="J30" s="34"/>
      <c r="K30" s="34"/>
      <c r="L30" s="34"/>
      <c r="M30" s="34"/>
      <c r="N30" s="34"/>
      <c r="O30" s="34"/>
      <c r="P30" s="34"/>
      <c r="Q30" s="34"/>
      <c r="R30" s="34"/>
      <c r="S30" s="34"/>
      <c r="T30" s="34"/>
      <c r="U30" s="34"/>
      <c r="V30" s="34"/>
      <c r="W30" s="34"/>
      <c r="X30" s="34"/>
      <c r="Y30" s="34"/>
      <c r="Z30" s="34"/>
    </row>
    <row r="31" spans="1:26" ht="11.25">
      <c r="A31" s="150"/>
      <c r="B31" s="150"/>
      <c r="C31" s="150"/>
      <c r="D31" s="150"/>
      <c r="E31" s="69"/>
      <c r="F31" s="293"/>
      <c r="G31" s="294"/>
      <c r="H31" s="150"/>
      <c r="I31" s="150"/>
      <c r="J31" s="150"/>
      <c r="K31" s="150"/>
      <c r="L31" s="150"/>
      <c r="M31" s="150"/>
      <c r="N31" s="150"/>
      <c r="O31" s="150"/>
      <c r="P31" s="150"/>
      <c r="Q31" s="150"/>
      <c r="R31" s="150"/>
      <c r="S31" s="150"/>
      <c r="T31" s="150"/>
      <c r="U31" s="150"/>
      <c r="V31" s="150"/>
      <c r="W31" s="150"/>
      <c r="X31" s="150"/>
      <c r="Y31" s="150"/>
      <c r="Z31" s="150"/>
    </row>
    <row r="32" spans="2:6" ht="11.25">
      <c r="B32" s="191" t="s">
        <v>215</v>
      </c>
      <c r="C32" s="136">
        <f>ROUND((E9)*0.5,0)</f>
        <v>10</v>
      </c>
      <c r="D32" s="191" t="s">
        <v>897</v>
      </c>
      <c r="F32" s="25" t="s">
        <v>191</v>
      </c>
    </row>
  </sheetData>
  <sheetProtection/>
  <mergeCells count="10">
    <mergeCell ref="F9:G9"/>
    <mergeCell ref="H5:K5"/>
    <mergeCell ref="H4:K4"/>
    <mergeCell ref="N5:O5"/>
    <mergeCell ref="P5:Q5"/>
    <mergeCell ref="R5:W5"/>
    <mergeCell ref="L5:M5"/>
    <mergeCell ref="X5:Z5"/>
    <mergeCell ref="F7:G7"/>
    <mergeCell ref="F8:G8"/>
  </mergeCells>
  <printOptions/>
  <pageMargins left="0.75" right="0.75" top="1" bottom="1" header="0.5" footer="0.5"/>
  <pageSetup fitToHeight="1" fitToWidth="1" horizontalDpi="600" verticalDpi="600" orientation="landscape" scale="77" r:id="rId1"/>
</worksheet>
</file>

<file path=xl/worksheets/sheet7.xml><?xml version="1.0" encoding="utf-8"?>
<worksheet xmlns="http://schemas.openxmlformats.org/spreadsheetml/2006/main" xmlns:r="http://schemas.openxmlformats.org/officeDocument/2006/relationships">
  <sheetPr codeName="Sheet53"/>
  <dimension ref="A1:E12"/>
  <sheetViews>
    <sheetView zoomScalePageLayoutView="0" workbookViewId="0" topLeftCell="A1">
      <selection activeCell="A1" sqref="A1:E13"/>
    </sheetView>
  </sheetViews>
  <sheetFormatPr defaultColWidth="9.140625" defaultRowHeight="12.75"/>
  <cols>
    <col min="2" max="3" width="9.140625" style="315" customWidth="1"/>
    <col min="5" max="5" width="9.140625" style="315" customWidth="1"/>
  </cols>
  <sheetData>
    <row r="1" ht="12.75">
      <c r="C1" s="315" t="s">
        <v>230</v>
      </c>
    </row>
    <row r="2" ht="12.75">
      <c r="C2" s="315" t="s">
        <v>798</v>
      </c>
    </row>
    <row r="3" ht="12.75">
      <c r="C3" t="s">
        <v>799</v>
      </c>
    </row>
    <row r="6" spans="2:5" ht="12.75">
      <c r="B6" s="360" t="s">
        <v>228</v>
      </c>
      <c r="C6" s="360" t="s">
        <v>229</v>
      </c>
      <c r="D6" s="336"/>
      <c r="E6" s="360" t="s">
        <v>294</v>
      </c>
    </row>
    <row r="7" spans="1:5" ht="12.75">
      <c r="A7" t="s">
        <v>125</v>
      </c>
      <c r="B7" s="360">
        <v>142</v>
      </c>
      <c r="C7" s="360">
        <v>1</v>
      </c>
      <c r="D7" s="336"/>
      <c r="E7" s="360">
        <f aca="true" t="shared" si="0" ref="E7:E12">SUM(C7:D7)</f>
        <v>1</v>
      </c>
    </row>
    <row r="8" spans="1:5" ht="12.75">
      <c r="A8" t="s">
        <v>557</v>
      </c>
      <c r="B8" s="360">
        <v>106</v>
      </c>
      <c r="C8" s="360">
        <v>2</v>
      </c>
      <c r="D8" s="336"/>
      <c r="E8" s="360">
        <f t="shared" si="0"/>
        <v>2</v>
      </c>
    </row>
    <row r="9" spans="1:5" ht="12.75">
      <c r="A9" t="s">
        <v>585</v>
      </c>
      <c r="B9" s="360">
        <v>41</v>
      </c>
      <c r="C9" s="360">
        <v>3</v>
      </c>
      <c r="D9" s="336"/>
      <c r="E9" s="360">
        <f t="shared" si="0"/>
        <v>3</v>
      </c>
    </row>
    <row r="10" spans="2:5" ht="12.75">
      <c r="B10" s="360">
        <v>107</v>
      </c>
      <c r="C10" s="360">
        <v>4</v>
      </c>
      <c r="D10" s="336"/>
      <c r="E10" s="360">
        <f t="shared" si="0"/>
        <v>4</v>
      </c>
    </row>
    <row r="11" spans="1:5" ht="12.75">
      <c r="A11" t="s">
        <v>563</v>
      </c>
      <c r="B11" s="360">
        <v>70</v>
      </c>
      <c r="C11" s="360">
        <v>5</v>
      </c>
      <c r="D11" s="336"/>
      <c r="E11" s="360">
        <f t="shared" si="0"/>
        <v>5</v>
      </c>
    </row>
    <row r="12" spans="1:5" ht="12.75">
      <c r="A12" t="s">
        <v>842</v>
      </c>
      <c r="B12" s="360">
        <v>38</v>
      </c>
      <c r="C12" s="360">
        <v>6</v>
      </c>
      <c r="D12" s="336"/>
      <c r="E12" s="360">
        <f t="shared" si="0"/>
        <v>6</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31"/>
  <dimension ref="A2:N42"/>
  <sheetViews>
    <sheetView zoomScalePageLayoutView="0" workbookViewId="0" topLeftCell="A1">
      <selection activeCell="C4" sqref="C4"/>
    </sheetView>
  </sheetViews>
  <sheetFormatPr defaultColWidth="9.140625" defaultRowHeight="12.75"/>
  <cols>
    <col min="1" max="1" width="4.57421875" style="27" customWidth="1"/>
    <col min="2" max="2" width="4.7109375" style="24" customWidth="1"/>
    <col min="3" max="3" width="38.140625" style="27" customWidth="1"/>
    <col min="4" max="4" width="5.140625" style="24" bestFit="1" customWidth="1"/>
    <col min="5" max="5" width="7.421875" style="24" customWidth="1"/>
    <col min="6" max="6" width="12.57421875" style="27" bestFit="1" customWidth="1"/>
    <col min="7" max="11" width="6.7109375" style="27" customWidth="1"/>
    <col min="12" max="16384" width="9.140625" style="27" customWidth="1"/>
  </cols>
  <sheetData>
    <row r="2" spans="3:11" ht="15.75">
      <c r="C2" s="71" t="s">
        <v>1136</v>
      </c>
      <c r="D2" s="47"/>
      <c r="E2" s="47"/>
      <c r="F2" s="24"/>
      <c r="G2" s="24"/>
      <c r="H2" s="26"/>
      <c r="I2" s="24"/>
      <c r="J2" s="24"/>
      <c r="K2" s="24"/>
    </row>
    <row r="3" spans="3:11" ht="11.25">
      <c r="C3" s="27" t="s">
        <v>1229</v>
      </c>
      <c r="D3" s="47"/>
      <c r="E3" s="47"/>
      <c r="F3" s="24"/>
      <c r="G3" s="24"/>
      <c r="H3" s="26"/>
      <c r="I3" s="24"/>
      <c r="J3" s="24"/>
      <c r="K3" s="24"/>
    </row>
    <row r="4" spans="6:11" ht="11.25">
      <c r="F4" s="24"/>
      <c r="G4" s="24"/>
      <c r="H4" s="26"/>
      <c r="I4" s="24"/>
      <c r="J4" s="24"/>
      <c r="K4" s="24"/>
    </row>
    <row r="5" spans="2:14" ht="11.25">
      <c r="B5" s="100"/>
      <c r="C5" s="90"/>
      <c r="D5" s="91">
        <f>COUNT(G5:K5)</f>
        <v>3</v>
      </c>
      <c r="E5" s="91"/>
      <c r="F5" s="258" t="s">
        <v>187</v>
      </c>
      <c r="G5" s="91">
        <v>13</v>
      </c>
      <c r="H5" s="91">
        <v>8</v>
      </c>
      <c r="I5" s="91">
        <v>16</v>
      </c>
      <c r="J5" s="91"/>
      <c r="K5" s="91"/>
      <c r="L5" s="76"/>
      <c r="M5" s="150"/>
      <c r="N5" s="150"/>
    </row>
    <row r="6" spans="2:14" ht="11.25">
      <c r="B6" s="84" t="s">
        <v>451</v>
      </c>
      <c r="C6" s="85" t="s">
        <v>422</v>
      </c>
      <c r="D6" s="85" t="s">
        <v>188</v>
      </c>
      <c r="E6" s="85" t="s">
        <v>189</v>
      </c>
      <c r="F6" s="86" t="s">
        <v>190</v>
      </c>
      <c r="G6" s="87" t="s">
        <v>281</v>
      </c>
      <c r="H6" s="87" t="s">
        <v>282</v>
      </c>
      <c r="I6" s="87" t="s">
        <v>283</v>
      </c>
      <c r="J6" s="87" t="s">
        <v>284</v>
      </c>
      <c r="K6" s="87" t="s">
        <v>285</v>
      </c>
      <c r="L6" s="76"/>
      <c r="M6" s="150"/>
      <c r="N6" s="150"/>
    </row>
    <row r="7" spans="1:14" ht="11.25">
      <c r="A7" s="27">
        <v>1</v>
      </c>
      <c r="B7" s="91">
        <v>23</v>
      </c>
      <c r="C7" s="131" t="str">
        <f>VLOOKUP(B7,'2006Season'!$C$11:$D$30,2,FALSE)</f>
        <v>Com Crocker/ Kurt Weisenfluh</v>
      </c>
      <c r="D7" s="91">
        <f aca="true" t="shared" si="0" ref="D7:D24">COUNT(G7:K7)</f>
        <v>3</v>
      </c>
      <c r="E7" s="91">
        <f aca="true" t="shared" si="1" ref="E7:E24">IF(D7&gt;3,1,0)</f>
        <v>0</v>
      </c>
      <c r="F7" s="296">
        <f aca="true" t="shared" si="2" ref="F7:F24">C_S_G(G7:K7,G$5:K$5,csg_table,D$5,E7)</f>
        <v>1</v>
      </c>
      <c r="G7" s="297">
        <v>1</v>
      </c>
      <c r="H7" s="297"/>
      <c r="I7" s="297">
        <v>1</v>
      </c>
      <c r="J7" s="297"/>
      <c r="K7" s="297">
        <v>1</v>
      </c>
      <c r="L7" s="76"/>
      <c r="M7" s="66"/>
      <c r="N7" s="66"/>
    </row>
    <row r="8" spans="1:14" ht="11.25">
      <c r="A8" s="247">
        <v>2</v>
      </c>
      <c r="B8" s="81">
        <v>221</v>
      </c>
      <c r="C8" s="93" t="str">
        <f>VLOOKUP(B8,'2006Season'!$C$11:$D$30,2,FALSE)</f>
        <v>Michael Carr</v>
      </c>
      <c r="D8" s="81">
        <f t="shared" si="0"/>
        <v>4</v>
      </c>
      <c r="E8" s="81">
        <f t="shared" si="1"/>
        <v>1</v>
      </c>
      <c r="F8" s="256">
        <f t="shared" si="2"/>
        <v>0.9354838709677419</v>
      </c>
      <c r="G8" s="89">
        <v>2</v>
      </c>
      <c r="H8" s="89">
        <v>3</v>
      </c>
      <c r="I8" s="89">
        <v>2</v>
      </c>
      <c r="J8" s="89">
        <v>1</v>
      </c>
      <c r="K8" s="89"/>
      <c r="L8" s="76"/>
      <c r="M8" s="66"/>
      <c r="N8" s="66"/>
    </row>
    <row r="9" spans="1:14" ht="11.25">
      <c r="A9" s="247">
        <v>3</v>
      </c>
      <c r="B9" s="81">
        <v>182</v>
      </c>
      <c r="C9" s="93" t="str">
        <f>VLOOKUP(B9,'2006Season'!$C$11:$D$30,2,FALSE)</f>
        <v>Skip McGuire</v>
      </c>
      <c r="D9" s="81">
        <f t="shared" si="0"/>
        <v>4</v>
      </c>
      <c r="E9" s="81">
        <f t="shared" si="1"/>
        <v>1</v>
      </c>
      <c r="F9" s="256">
        <f t="shared" si="2"/>
        <v>0.9166666666666666</v>
      </c>
      <c r="G9" s="89"/>
      <c r="H9" s="89">
        <v>2</v>
      </c>
      <c r="I9" s="89">
        <v>4</v>
      </c>
      <c r="J9" s="89">
        <v>2</v>
      </c>
      <c r="K9" s="89">
        <v>5</v>
      </c>
      <c r="L9" s="76"/>
      <c r="M9" s="66"/>
      <c r="N9" s="66"/>
    </row>
    <row r="10" spans="1:14" ht="11.25">
      <c r="A10" s="27">
        <v>4</v>
      </c>
      <c r="B10" s="81">
        <v>231</v>
      </c>
      <c r="C10" s="93" t="str">
        <f>VLOOKUP(B10,'2006Season'!$C$11:$D$30,2,FALSE)</f>
        <v>HL DeVore</v>
      </c>
      <c r="D10" s="81">
        <f t="shared" si="0"/>
        <v>3</v>
      </c>
      <c r="E10" s="81">
        <f t="shared" si="1"/>
        <v>0</v>
      </c>
      <c r="F10" s="256">
        <f t="shared" si="2"/>
        <v>0.8924731182795699</v>
      </c>
      <c r="G10" s="89">
        <v>3</v>
      </c>
      <c r="H10" s="89"/>
      <c r="I10" s="89">
        <v>3</v>
      </c>
      <c r="J10" s="89">
        <v>5</v>
      </c>
      <c r="K10" s="89"/>
      <c r="L10" s="76"/>
      <c r="M10" s="66"/>
      <c r="N10" s="66"/>
    </row>
    <row r="11" spans="1:14" ht="11.25">
      <c r="A11" s="27">
        <v>5</v>
      </c>
      <c r="B11" s="81">
        <v>25</v>
      </c>
      <c r="C11" s="93" t="str">
        <f>VLOOKUP(B11,'2006Season'!$C$11:$D$30,2,FALSE)</f>
        <v>Fred Werblow</v>
      </c>
      <c r="D11" s="81">
        <f t="shared" si="0"/>
        <v>5</v>
      </c>
      <c r="E11" s="81">
        <f t="shared" si="1"/>
        <v>1</v>
      </c>
      <c r="F11" s="256">
        <f t="shared" si="2"/>
        <v>0.8172043010752689</v>
      </c>
      <c r="G11" s="89">
        <v>4</v>
      </c>
      <c r="H11" s="89">
        <v>6</v>
      </c>
      <c r="I11" s="89">
        <v>6</v>
      </c>
      <c r="J11" s="89">
        <v>3</v>
      </c>
      <c r="K11" s="89">
        <v>2</v>
      </c>
      <c r="L11" s="76"/>
      <c r="M11" s="66"/>
      <c r="N11" s="66"/>
    </row>
    <row r="12" spans="1:14" ht="11.25">
      <c r="A12" s="27">
        <v>6</v>
      </c>
      <c r="B12" s="81">
        <v>142</v>
      </c>
      <c r="C12" s="93" t="str">
        <f>VLOOKUP(B12,'2006Season'!$C$11:$D$30,2,FALSE)</f>
        <v>Justin Gibbons / Phillips Johnston</v>
      </c>
      <c r="D12" s="81">
        <f t="shared" si="0"/>
        <v>3</v>
      </c>
      <c r="E12" s="81">
        <f t="shared" si="1"/>
        <v>0</v>
      </c>
      <c r="F12" s="256">
        <f t="shared" si="2"/>
        <v>0.7916666666666666</v>
      </c>
      <c r="G12" s="89"/>
      <c r="H12" s="89">
        <v>1</v>
      </c>
      <c r="I12" s="89">
        <v>14</v>
      </c>
      <c r="J12" s="89">
        <v>6</v>
      </c>
      <c r="K12" s="89"/>
      <c r="L12" s="76"/>
      <c r="M12" s="66"/>
      <c r="N12" s="66"/>
    </row>
    <row r="13" spans="1:14" ht="11.25">
      <c r="A13" s="27">
        <v>7</v>
      </c>
      <c r="B13" s="81">
        <v>176</v>
      </c>
      <c r="C13" s="93" t="str">
        <f>VLOOKUP(B13,'2006Season'!$C$11:$D$30,2,FALSE)</f>
        <v>Greg Takata / Doug Campbell / Andrew Wertheim</v>
      </c>
      <c r="D13" s="81">
        <f t="shared" si="0"/>
        <v>5</v>
      </c>
      <c r="E13" s="81">
        <f t="shared" si="1"/>
        <v>1</v>
      </c>
      <c r="F13" s="256">
        <f t="shared" si="2"/>
        <v>0.7678571428571429</v>
      </c>
      <c r="G13" s="89">
        <v>8</v>
      </c>
      <c r="H13" s="89">
        <v>5</v>
      </c>
      <c r="I13" s="89">
        <v>7</v>
      </c>
      <c r="J13" s="89">
        <v>4</v>
      </c>
      <c r="K13" s="89">
        <v>4</v>
      </c>
      <c r="L13" s="76"/>
      <c r="M13" s="66"/>
      <c r="N13" s="66"/>
    </row>
    <row r="14" spans="1:14" ht="11.25">
      <c r="A14" s="247">
        <v>8</v>
      </c>
      <c r="B14" s="81">
        <v>117</v>
      </c>
      <c r="C14" s="93" t="str">
        <f>VLOOKUP(B14,'2006Season'!$C$11:$D$30,2,FALSE)</f>
        <v>Michael Katz / Bill Gollner</v>
      </c>
      <c r="D14" s="81">
        <f t="shared" si="0"/>
        <v>4</v>
      </c>
      <c r="E14" s="81">
        <f t="shared" si="1"/>
        <v>1</v>
      </c>
      <c r="F14" s="256">
        <f t="shared" si="2"/>
        <v>0.7526881720430108</v>
      </c>
      <c r="G14" s="89">
        <v>6</v>
      </c>
      <c r="H14" s="89">
        <v>8</v>
      </c>
      <c r="I14" s="89">
        <v>9</v>
      </c>
      <c r="J14" s="89">
        <v>7</v>
      </c>
      <c r="K14" s="89"/>
      <c r="L14" s="76"/>
      <c r="M14" s="66"/>
      <c r="N14" s="66"/>
    </row>
    <row r="15" spans="1:14" ht="11.25">
      <c r="A15" s="247">
        <v>9</v>
      </c>
      <c r="B15" s="81">
        <v>41</v>
      </c>
      <c r="C15" s="93" t="s">
        <v>1133</v>
      </c>
      <c r="D15" s="81">
        <f t="shared" si="0"/>
        <v>3</v>
      </c>
      <c r="E15" s="81">
        <f t="shared" si="1"/>
        <v>0</v>
      </c>
      <c r="F15" s="256">
        <f t="shared" si="2"/>
        <v>0.7131782945736435</v>
      </c>
      <c r="G15" s="89">
        <v>11</v>
      </c>
      <c r="H15" s="89">
        <v>4</v>
      </c>
      <c r="I15" s="89">
        <v>11</v>
      </c>
      <c r="J15" s="89"/>
      <c r="K15" s="89"/>
      <c r="L15" s="76"/>
      <c r="M15" s="66"/>
      <c r="N15" s="66"/>
    </row>
    <row r="16" spans="1:14" ht="11.25">
      <c r="A16" s="27">
        <v>10</v>
      </c>
      <c r="B16" s="81">
        <v>197</v>
      </c>
      <c r="C16" s="93" t="s">
        <v>411</v>
      </c>
      <c r="D16" s="81">
        <f t="shared" si="0"/>
        <v>3</v>
      </c>
      <c r="E16" s="81">
        <f t="shared" si="1"/>
        <v>0</v>
      </c>
      <c r="F16" s="256">
        <f t="shared" si="2"/>
        <v>0.7096774193548387</v>
      </c>
      <c r="G16" s="89">
        <v>9</v>
      </c>
      <c r="H16" s="89"/>
      <c r="I16" s="89">
        <v>10</v>
      </c>
      <c r="J16" s="89"/>
      <c r="K16" s="89">
        <v>3</v>
      </c>
      <c r="L16" s="76"/>
      <c r="M16" s="66"/>
      <c r="N16" s="66"/>
    </row>
    <row r="17" spans="1:14" ht="11.25">
      <c r="A17" s="27">
        <v>11</v>
      </c>
      <c r="B17" s="81">
        <v>26</v>
      </c>
      <c r="C17" s="93" t="str">
        <f>VLOOKUP(B17,'2006Season'!$C$11:$D$30,2,FALSE)</f>
        <v>Kevin Hynes / Tom Gallagher</v>
      </c>
      <c r="D17" s="81">
        <f t="shared" si="0"/>
        <v>3</v>
      </c>
      <c r="E17" s="81">
        <f t="shared" si="1"/>
        <v>0</v>
      </c>
      <c r="F17" s="256">
        <f t="shared" si="2"/>
        <v>0.6976744186046512</v>
      </c>
      <c r="G17" s="89">
        <v>7</v>
      </c>
      <c r="H17" s="89">
        <v>7</v>
      </c>
      <c r="I17" s="89">
        <v>13</v>
      </c>
      <c r="J17" s="89"/>
      <c r="K17" s="89"/>
      <c r="L17" s="76"/>
      <c r="M17" s="66"/>
      <c r="N17" s="66"/>
    </row>
    <row r="18" spans="1:14" ht="11.25">
      <c r="A18" s="330">
        <v>12</v>
      </c>
      <c r="B18" s="83">
        <v>106</v>
      </c>
      <c r="C18" s="94" t="str">
        <f>VLOOKUP(B18,'2006Season'!$C$11:$D$30,2,FALSE)</f>
        <v>John Mawe</v>
      </c>
      <c r="D18" s="83">
        <f t="shared" si="0"/>
        <v>3</v>
      </c>
      <c r="E18" s="83">
        <f t="shared" si="1"/>
        <v>0</v>
      </c>
      <c r="F18" s="257">
        <f t="shared" si="2"/>
        <v>0.6451612903225806</v>
      </c>
      <c r="G18" s="96">
        <v>13</v>
      </c>
      <c r="H18" s="96"/>
      <c r="I18" s="96">
        <v>12</v>
      </c>
      <c r="J18" s="96"/>
      <c r="K18" s="96">
        <v>6</v>
      </c>
      <c r="L18" s="76"/>
      <c r="M18" s="66"/>
      <c r="N18" s="66"/>
    </row>
    <row r="19" spans="1:14" s="150" customFormat="1" ht="11.25">
      <c r="A19" s="348" t="s">
        <v>215</v>
      </c>
      <c r="B19" s="91">
        <v>49</v>
      </c>
      <c r="C19" s="131" t="s">
        <v>1132</v>
      </c>
      <c r="D19" s="91">
        <f t="shared" si="0"/>
        <v>2</v>
      </c>
      <c r="E19" s="91">
        <f t="shared" si="1"/>
        <v>0</v>
      </c>
      <c r="F19" s="296">
        <f t="shared" si="2"/>
        <v>0.8172043010752689</v>
      </c>
      <c r="G19" s="297">
        <v>5</v>
      </c>
      <c r="H19" s="297"/>
      <c r="I19" s="297">
        <v>5</v>
      </c>
      <c r="J19" s="297"/>
      <c r="K19" s="297"/>
      <c r="L19" s="231"/>
      <c r="M19" s="66"/>
      <c r="N19" s="66"/>
    </row>
    <row r="20" spans="1:14" ht="11.25">
      <c r="A20" s="247" t="s">
        <v>215</v>
      </c>
      <c r="B20" s="81">
        <v>5</v>
      </c>
      <c r="C20" s="93" t="str">
        <f>VLOOKUP(B20,'2006Season'!$C$11:$D$30,2,FALSE)</f>
        <v>Pierre Albouy / V Leonard</v>
      </c>
      <c r="D20" s="81">
        <f t="shared" si="0"/>
        <v>2</v>
      </c>
      <c r="E20" s="81">
        <f t="shared" si="1"/>
        <v>0</v>
      </c>
      <c r="F20" s="256">
        <f t="shared" si="2"/>
        <v>0.6444444444444445</v>
      </c>
      <c r="G20" s="89">
        <v>12</v>
      </c>
      <c r="H20" s="89"/>
      <c r="I20" s="89"/>
      <c r="J20" s="89">
        <v>8</v>
      </c>
      <c r="K20" s="89"/>
      <c r="L20" s="76"/>
      <c r="M20" s="66"/>
      <c r="N20" s="66"/>
    </row>
    <row r="21" spans="1:14" ht="11.25">
      <c r="A21" s="247" t="s">
        <v>215</v>
      </c>
      <c r="B21" s="81">
        <v>70</v>
      </c>
      <c r="C21" s="93" t="str">
        <f>VLOOKUP(B21,'2006Season'!$C$11:$D$30,2,FALSE)</f>
        <v>Roland Schulz /  Berenice &amp; Alexandre deCirfontaine</v>
      </c>
      <c r="D21" s="81">
        <f t="shared" si="0"/>
        <v>2</v>
      </c>
      <c r="E21" s="81">
        <f t="shared" si="1"/>
        <v>0</v>
      </c>
      <c r="F21" s="256">
        <f t="shared" si="2"/>
        <v>0.6145833333333334</v>
      </c>
      <c r="G21" s="89"/>
      <c r="H21" s="89"/>
      <c r="I21" s="89">
        <v>16</v>
      </c>
      <c r="J21" s="89"/>
      <c r="K21" s="89">
        <v>7</v>
      </c>
      <c r="L21" s="76"/>
      <c r="M21" s="66"/>
      <c r="N21" s="66"/>
    </row>
    <row r="22" spans="1:14" ht="11.25">
      <c r="A22" s="247" t="s">
        <v>215</v>
      </c>
      <c r="B22" s="81">
        <v>16</v>
      </c>
      <c r="C22" s="93" t="s">
        <v>833</v>
      </c>
      <c r="D22" s="81">
        <f>COUNT(G22:K22)</f>
        <v>1</v>
      </c>
      <c r="E22" s="81">
        <f t="shared" si="1"/>
        <v>0</v>
      </c>
      <c r="F22" s="256">
        <f>C_S_G(G22:K22,G$5:K$5,csg_table,D$5,E22)</f>
        <v>0.6888888888888889</v>
      </c>
      <c r="G22" s="89">
        <v>10</v>
      </c>
      <c r="H22" s="89"/>
      <c r="I22" s="89"/>
      <c r="J22" s="89"/>
      <c r="K22" s="89"/>
      <c r="L22" s="76"/>
      <c r="M22" s="66"/>
      <c r="N22" s="66"/>
    </row>
    <row r="23" spans="1:14" ht="11.25">
      <c r="A23" s="247" t="s">
        <v>215</v>
      </c>
      <c r="B23" s="81">
        <v>16</v>
      </c>
      <c r="C23" s="93" t="s">
        <v>1100</v>
      </c>
      <c r="D23" s="81">
        <f t="shared" si="0"/>
        <v>1</v>
      </c>
      <c r="E23" s="81">
        <f t="shared" si="1"/>
        <v>0</v>
      </c>
      <c r="F23" s="256">
        <f>C_S_G(G23:K23,G$5:K$5,csg_table,D$5,E23)</f>
        <v>0</v>
      </c>
      <c r="G23" s="89"/>
      <c r="H23" s="89"/>
      <c r="I23" s="89"/>
      <c r="J23" s="89"/>
      <c r="K23" s="89">
        <v>8</v>
      </c>
      <c r="L23" s="76"/>
      <c r="M23" s="66"/>
      <c r="N23" s="66"/>
    </row>
    <row r="24" spans="1:14" ht="11.25">
      <c r="A24" s="247" t="s">
        <v>215</v>
      </c>
      <c r="B24" s="83">
        <v>38</v>
      </c>
      <c r="C24" s="94" t="str">
        <f>VLOOKUP(B24,'2006Season'!$C$11:$D$30,2,FALSE)</f>
        <v>Jean Pierre Jabart / Alain Concher</v>
      </c>
      <c r="D24" s="83">
        <f t="shared" si="0"/>
        <v>0</v>
      </c>
      <c r="E24" s="83">
        <f t="shared" si="1"/>
        <v>0</v>
      </c>
      <c r="F24" s="257">
        <f t="shared" si="2"/>
        <v>0</v>
      </c>
      <c r="G24" s="96"/>
      <c r="H24" s="96"/>
      <c r="I24" s="96"/>
      <c r="J24" s="96"/>
      <c r="K24" s="96"/>
      <c r="L24" s="76"/>
      <c r="M24" s="66"/>
      <c r="N24" s="66"/>
    </row>
    <row r="25" spans="3:11" ht="11.25">
      <c r="C25" s="23"/>
      <c r="D25" s="66"/>
      <c r="E25" s="66"/>
      <c r="F25" s="68"/>
      <c r="G25" s="69"/>
      <c r="H25" s="69"/>
      <c r="I25" s="69"/>
      <c r="J25" s="69"/>
      <c r="K25" s="69"/>
    </row>
    <row r="26" ht="11.25">
      <c r="C26" s="27" t="s">
        <v>297</v>
      </c>
    </row>
    <row r="28" spans="2:3" ht="11.25">
      <c r="B28" s="24" t="s">
        <v>281</v>
      </c>
      <c r="C28" s="23" t="s">
        <v>286</v>
      </c>
    </row>
    <row r="29" spans="2:3" ht="11.25">
      <c r="B29" s="24" t="s">
        <v>282</v>
      </c>
      <c r="C29" s="23" t="s">
        <v>287</v>
      </c>
    </row>
    <row r="30" spans="2:3" ht="11.25">
      <c r="B30" s="24" t="s">
        <v>283</v>
      </c>
      <c r="C30" s="23" t="s">
        <v>288</v>
      </c>
    </row>
    <row r="31" spans="2:3" ht="11.25">
      <c r="B31" s="24" t="s">
        <v>284</v>
      </c>
      <c r="C31" s="23" t="s">
        <v>528</v>
      </c>
    </row>
    <row r="32" spans="2:3" ht="11.25">
      <c r="B32" s="24" t="s">
        <v>285</v>
      </c>
      <c r="C32" s="23" t="s">
        <v>289</v>
      </c>
    </row>
    <row r="34" spans="2:3" ht="11.25">
      <c r="B34" s="24" t="s">
        <v>215</v>
      </c>
      <c r="C34" s="27" t="s">
        <v>298</v>
      </c>
    </row>
    <row r="35" spans="3:8" ht="11.25">
      <c r="C35" s="27" t="s">
        <v>307</v>
      </c>
      <c r="H35" s="27" t="s">
        <v>191</v>
      </c>
    </row>
    <row r="36" ht="11.25">
      <c r="C36" s="27" t="s">
        <v>296</v>
      </c>
    </row>
    <row r="38" ht="11.25">
      <c r="C38" s="137" t="s">
        <v>887</v>
      </c>
    </row>
    <row r="39" ht="11.25">
      <c r="C39" s="79" t="s">
        <v>886</v>
      </c>
    </row>
    <row r="40" ht="11.25">
      <c r="C40" s="79" t="s">
        <v>810</v>
      </c>
    </row>
    <row r="41" ht="11.25">
      <c r="C41" s="79" t="s">
        <v>811</v>
      </c>
    </row>
    <row r="42" ht="11.25">
      <c r="C42" s="79" t="s">
        <v>812</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54"/>
  <dimension ref="A2:G14"/>
  <sheetViews>
    <sheetView zoomScalePageLayoutView="0" workbookViewId="0" topLeftCell="A1">
      <selection activeCell="A12" sqref="A12"/>
    </sheetView>
  </sheetViews>
  <sheetFormatPr defaultColWidth="9.140625" defaultRowHeight="12.75"/>
  <cols>
    <col min="1" max="1" width="15.7109375" style="0" customWidth="1"/>
    <col min="2" max="2" width="47.28125" style="0" customWidth="1"/>
    <col min="3" max="3" width="14.8515625" style="0" customWidth="1"/>
    <col min="4" max="4" width="13.421875" style="0" customWidth="1"/>
    <col min="5" max="5" width="16.00390625" style="0" customWidth="1"/>
    <col min="6" max="6" width="9.00390625" style="0" customWidth="1"/>
  </cols>
  <sheetData>
    <row r="2" spans="3:6" ht="12.75">
      <c r="C2" s="312" t="s">
        <v>340</v>
      </c>
      <c r="E2" s="312"/>
      <c r="F2" s="312"/>
    </row>
    <row r="3" ht="12.75">
      <c r="D3" s="313" t="s">
        <v>787</v>
      </c>
    </row>
    <row r="4" ht="12.75">
      <c r="D4" s="313"/>
    </row>
    <row r="5" spans="1:7" ht="12.75">
      <c r="A5" s="314" t="s">
        <v>351</v>
      </c>
      <c r="B5" s="314" t="s">
        <v>800</v>
      </c>
      <c r="C5" s="313" t="s">
        <v>341</v>
      </c>
      <c r="D5" s="314" t="s">
        <v>342</v>
      </c>
      <c r="E5" s="314" t="s">
        <v>343</v>
      </c>
      <c r="F5" s="314" t="s">
        <v>344</v>
      </c>
      <c r="G5" s="314" t="s">
        <v>294</v>
      </c>
    </row>
    <row r="6" spans="1:7" ht="12.75">
      <c r="A6" s="314"/>
      <c r="B6" s="314"/>
      <c r="C6" s="313"/>
      <c r="D6" s="314"/>
      <c r="E6" s="314"/>
      <c r="F6" s="314"/>
      <c r="G6" s="314"/>
    </row>
    <row r="7" spans="1:7" ht="12.75">
      <c r="A7" s="315">
        <v>1</v>
      </c>
      <c r="B7" s="317" t="s">
        <v>839</v>
      </c>
      <c r="C7" s="315">
        <v>142</v>
      </c>
      <c r="D7" s="315">
        <v>2</v>
      </c>
      <c r="E7" s="315">
        <v>2</v>
      </c>
      <c r="F7" s="315">
        <v>2</v>
      </c>
      <c r="G7" s="315">
        <f>SUM(D7:F7)</f>
        <v>6</v>
      </c>
    </row>
    <row r="8" spans="1:7" ht="12.75">
      <c r="A8" s="315">
        <v>2</v>
      </c>
      <c r="B8" s="317" t="s">
        <v>359</v>
      </c>
      <c r="C8" s="315">
        <v>182</v>
      </c>
      <c r="D8" s="315">
        <v>3</v>
      </c>
      <c r="E8" s="315">
        <v>1</v>
      </c>
      <c r="F8" s="315">
        <v>7</v>
      </c>
      <c r="G8" s="315">
        <f>SUM(D8:F8)</f>
        <v>11</v>
      </c>
    </row>
    <row r="9" spans="1:7" ht="12.75">
      <c r="A9" s="315">
        <v>3</v>
      </c>
      <c r="B9" s="317" t="s">
        <v>407</v>
      </c>
      <c r="C9" s="315">
        <v>221</v>
      </c>
      <c r="D9" s="315">
        <v>7</v>
      </c>
      <c r="E9" s="315">
        <v>4</v>
      </c>
      <c r="F9" s="315">
        <v>1</v>
      </c>
      <c r="G9" s="315">
        <f aca="true" t="shared" si="0" ref="G9:G14">SUM(D9:F9)</f>
        <v>12</v>
      </c>
    </row>
    <row r="10" spans="1:7" ht="12.75">
      <c r="A10" s="315">
        <v>4</v>
      </c>
      <c r="B10" s="317" t="s">
        <v>345</v>
      </c>
      <c r="C10" s="315">
        <v>41</v>
      </c>
      <c r="D10" s="315">
        <v>4</v>
      </c>
      <c r="E10" s="315">
        <v>5</v>
      </c>
      <c r="F10" s="315">
        <v>4</v>
      </c>
      <c r="G10" s="315">
        <f t="shared" si="0"/>
        <v>13</v>
      </c>
    </row>
    <row r="11" spans="1:7" ht="12.75">
      <c r="A11" s="315">
        <v>5</v>
      </c>
      <c r="B11" s="317" t="s">
        <v>406</v>
      </c>
      <c r="C11" s="315">
        <v>176</v>
      </c>
      <c r="D11" s="315">
        <v>5</v>
      </c>
      <c r="E11" s="315">
        <v>3</v>
      </c>
      <c r="F11" s="315">
        <v>6</v>
      </c>
      <c r="G11" s="315">
        <f t="shared" si="0"/>
        <v>14</v>
      </c>
    </row>
    <row r="12" spans="1:7" ht="12.75">
      <c r="A12" s="315">
        <v>6</v>
      </c>
      <c r="B12" s="317" t="s">
        <v>1150</v>
      </c>
      <c r="C12" s="315">
        <v>26</v>
      </c>
      <c r="D12" s="315">
        <v>1</v>
      </c>
      <c r="E12" s="315" t="s">
        <v>615</v>
      </c>
      <c r="F12" s="315">
        <v>8</v>
      </c>
      <c r="G12" s="315">
        <v>18</v>
      </c>
    </row>
    <row r="13" spans="1:7" ht="12.75">
      <c r="A13" s="315">
        <v>7</v>
      </c>
      <c r="B13" s="317" t="s">
        <v>504</v>
      </c>
      <c r="C13" s="315">
        <v>25</v>
      </c>
      <c r="D13" s="315">
        <v>6</v>
      </c>
      <c r="E13" s="315" t="s">
        <v>615</v>
      </c>
      <c r="F13" s="315">
        <v>3</v>
      </c>
      <c r="G13" s="315">
        <v>18</v>
      </c>
    </row>
    <row r="14" spans="1:7" ht="12.75">
      <c r="A14" s="315">
        <v>8</v>
      </c>
      <c r="B14" s="317" t="s">
        <v>781</v>
      </c>
      <c r="C14" s="315">
        <v>117</v>
      </c>
      <c r="D14" s="315">
        <v>8</v>
      </c>
      <c r="E14" s="315">
        <v>6</v>
      </c>
      <c r="F14" s="315">
        <v>5</v>
      </c>
      <c r="G14" s="315">
        <f t="shared" si="0"/>
        <v>19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Cox-Sprague Scoring Calculator</dc:title>
  <dc:subject/>
  <dc:creator>Witold Gesing</dc:creator>
  <cp:keywords/>
  <dc:description>'This program computes a series score for a yacht participating in a series of n_races with m_discards using the modified Cox-Sprague Scoring System.
 Proprietary Notice:
This software was developed by Witold Gesing.
 File was simplified and minor bugs fixed by John Coffey 2/25/01
 This software may be copied and re-distributed freely.
To protect the innocent, please clearly identify and document any changes,  improvements, modifications or additions.</dc:description>
  <cp:lastModifiedBy>w</cp:lastModifiedBy>
  <cp:lastPrinted>2007-09-10T16:09:08Z</cp:lastPrinted>
  <dcterms:created xsi:type="dcterms:W3CDTF">1999-10-05T15:00:35Z</dcterms:created>
  <dcterms:modified xsi:type="dcterms:W3CDTF">2021-07-14T18:29:02Z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